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EANL_Projects\10132353 - Netbeheer NL  compliance\3. Execution\Contents\Excel tool\"/>
    </mc:Choice>
  </mc:AlternateContent>
  <xr:revisionPtr revIDLastSave="0" documentId="13_ncr:1_{033DBA0A-7D32-45C9-807B-393E7667D617}" xr6:coauthVersionLast="47" xr6:coauthVersionMax="47" xr10:uidLastSave="{00000000-0000-0000-0000-000000000000}"/>
  <bookViews>
    <workbookView xWindow="-108" yWindow="-108" windowWidth="23256" windowHeight="12456" tabRatio="708" xr2:uid="{91F22C05-1AF6-49D8-9904-258E123AA387}"/>
  </bookViews>
  <sheets>
    <sheet name="LF minimum input" sheetId="22" r:id="rId1"/>
    <sheet name="Q-U and Q-P windows park" sheetId="14" r:id="rId2"/>
    <sheet name="Review unit type 1" sheetId="19" r:id="rId3"/>
    <sheet name="Review unit type 2" sheetId="23" r:id="rId4"/>
    <sheet name="Review unit type 3" sheetId="2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0" i="24" l="1"/>
  <c r="P40" i="24"/>
  <c r="Q39" i="24"/>
  <c r="P39" i="24"/>
  <c r="Q42" i="23"/>
  <c r="Q39" i="23"/>
  <c r="P39" i="23"/>
  <c r="Q43" i="19"/>
  <c r="P43" i="19"/>
  <c r="Q42" i="19"/>
  <c r="P42" i="19"/>
  <c r="Q41" i="19"/>
  <c r="P41" i="19"/>
  <c r="Q40" i="19"/>
  <c r="P40" i="19"/>
  <c r="Q39" i="19"/>
  <c r="P39" i="19"/>
  <c r="L6" i="22"/>
  <c r="G42" i="14"/>
  <c r="G41" i="14"/>
  <c r="G40" i="14"/>
  <c r="F42" i="14"/>
  <c r="F41" i="14"/>
  <c r="F40" i="14"/>
  <c r="H42" i="14"/>
  <c r="H41" i="14"/>
  <c r="H40" i="14"/>
  <c r="X39" i="22"/>
  <c r="Q43" i="24" s="1"/>
  <c r="W39" i="22"/>
  <c r="P43" i="24" s="1"/>
  <c r="X38" i="22"/>
  <c r="Q42" i="24" s="1"/>
  <c r="W38" i="22"/>
  <c r="P42" i="24" s="1"/>
  <c r="X37" i="22"/>
  <c r="Q41" i="24" s="1"/>
  <c r="W37" i="22"/>
  <c r="P41" i="24" s="1"/>
  <c r="X36" i="22"/>
  <c r="W36" i="22"/>
  <c r="X35" i="22"/>
  <c r="W35" i="22"/>
  <c r="X27" i="22"/>
  <c r="W27" i="22"/>
  <c r="P42" i="23" s="1"/>
  <c r="X26" i="22"/>
  <c r="Q41" i="23" s="1"/>
  <c r="W26" i="22"/>
  <c r="P41" i="23" s="1"/>
  <c r="X25" i="22"/>
  <c r="Q40" i="23" s="1"/>
  <c r="W25" i="22"/>
  <c r="P40" i="23" s="1"/>
  <c r="X24" i="22"/>
  <c r="X28" i="22" s="1"/>
  <c r="Q43" i="23" s="1"/>
  <c r="W24" i="22"/>
  <c r="W28" i="22" s="1"/>
  <c r="P43" i="23" s="1"/>
  <c r="X17" i="22"/>
  <c r="W17" i="22"/>
  <c r="X16" i="22"/>
  <c r="W16" i="22"/>
  <c r="X15" i="22"/>
  <c r="W15" i="22"/>
  <c r="X14" i="22"/>
  <c r="W14" i="22"/>
  <c r="X13" i="22"/>
  <c r="W13" i="22"/>
  <c r="X8" i="22"/>
  <c r="W8" i="22"/>
  <c r="X7" i="22"/>
  <c r="W7" i="22"/>
  <c r="X6" i="22"/>
  <c r="W6" i="22"/>
  <c r="I12" i="22" l="1"/>
  <c r="I16" i="22" s="1"/>
  <c r="B42" i="19" s="1"/>
  <c r="I11" i="22"/>
  <c r="D7" i="22"/>
  <c r="I52" i="22" s="1"/>
  <c r="J52" i="22" s="1"/>
  <c r="D21" i="22"/>
  <c r="I19" i="22" s="1"/>
  <c r="D20" i="22"/>
  <c r="I18" i="22" s="1"/>
  <c r="V16" i="22"/>
  <c r="O42" i="19" s="1"/>
  <c r="V11" i="22"/>
  <c r="V15" i="22" s="1"/>
  <c r="O41" i="19" s="1"/>
  <c r="U12" i="22"/>
  <c r="U16" i="22" s="1"/>
  <c r="N42" i="19" s="1"/>
  <c r="U11" i="22"/>
  <c r="U15" i="22" s="1"/>
  <c r="T12" i="22"/>
  <c r="T16" i="22" s="1"/>
  <c r="T11" i="22"/>
  <c r="T15" i="22" s="1"/>
  <c r="S12" i="22"/>
  <c r="S16" i="22" s="1"/>
  <c r="L42" i="19" s="1"/>
  <c r="S11" i="22"/>
  <c r="S15" i="22" s="1"/>
  <c r="L41" i="19" s="1"/>
  <c r="R12" i="22"/>
  <c r="R16" i="22" s="1"/>
  <c r="K42" i="19" s="1"/>
  <c r="R11" i="22"/>
  <c r="R15" i="22" s="1"/>
  <c r="K41" i="19" s="1"/>
  <c r="Q12" i="22"/>
  <c r="Q16" i="22" s="1"/>
  <c r="J42" i="19" s="1"/>
  <c r="Q11" i="22"/>
  <c r="Q15" i="22" s="1"/>
  <c r="P12" i="22"/>
  <c r="P16" i="22" s="1"/>
  <c r="O12" i="22"/>
  <c r="O16" i="22" s="1"/>
  <c r="H42" i="19" s="1"/>
  <c r="N12" i="22"/>
  <c r="N16" i="22" s="1"/>
  <c r="M12" i="22"/>
  <c r="M16" i="22" s="1"/>
  <c r="F42" i="19" s="1"/>
  <c r="L12" i="22"/>
  <c r="L16" i="22" s="1"/>
  <c r="K12" i="22"/>
  <c r="K13" i="22" s="1"/>
  <c r="K17" i="22" s="1"/>
  <c r="J12" i="22"/>
  <c r="J16" i="22" s="1"/>
  <c r="C42" i="19" s="1"/>
  <c r="P11" i="22"/>
  <c r="P15" i="22" s="1"/>
  <c r="O11" i="22"/>
  <c r="N11" i="22"/>
  <c r="N15" i="22" s="1"/>
  <c r="M11" i="22"/>
  <c r="M15" i="22" s="1"/>
  <c r="L11" i="22"/>
  <c r="L15" i="22" s="1"/>
  <c r="K11" i="22"/>
  <c r="K15" i="22" s="1"/>
  <c r="D41" i="19" s="1"/>
  <c r="J11" i="22"/>
  <c r="J15" i="22" s="1"/>
  <c r="C41" i="19" s="1"/>
  <c r="O15" i="22"/>
  <c r="H41" i="19" s="1"/>
  <c r="V14" i="22"/>
  <c r="U14" i="22"/>
  <c r="T14" i="22"/>
  <c r="M40" i="19" s="1"/>
  <c r="S14" i="22"/>
  <c r="L40" i="19" s="1"/>
  <c r="R14" i="22"/>
  <c r="Q14" i="22"/>
  <c r="P14" i="22"/>
  <c r="I40" i="19" s="1"/>
  <c r="O14" i="22"/>
  <c r="H40" i="19" s="1"/>
  <c r="N14" i="22"/>
  <c r="M14" i="22"/>
  <c r="F40" i="19" s="1"/>
  <c r="L14" i="22"/>
  <c r="K14" i="22"/>
  <c r="J14" i="22"/>
  <c r="I14" i="22"/>
  <c r="K25" i="22"/>
  <c r="D40" i="23" s="1"/>
  <c r="L25" i="22"/>
  <c r="M25" i="22"/>
  <c r="Q25" i="22"/>
  <c r="S25" i="22"/>
  <c r="T25" i="22"/>
  <c r="M40" i="23" s="1"/>
  <c r="U25" i="22"/>
  <c r="J26" i="22"/>
  <c r="C41" i="23" s="1"/>
  <c r="K26" i="22"/>
  <c r="D41" i="23" s="1"/>
  <c r="L26" i="22"/>
  <c r="E41" i="23" s="1"/>
  <c r="O26" i="22"/>
  <c r="H41" i="23" s="1"/>
  <c r="P26" i="22"/>
  <c r="I41" i="23" s="1"/>
  <c r="R26" i="22"/>
  <c r="K41" i="23" s="1"/>
  <c r="S26" i="22"/>
  <c r="L41" i="23" s="1"/>
  <c r="T26" i="22"/>
  <c r="M41" i="23" s="1"/>
  <c r="V26" i="22"/>
  <c r="O41" i="23" s="1"/>
  <c r="J27" i="22"/>
  <c r="C42" i="23" s="1"/>
  <c r="K27" i="22"/>
  <c r="D42" i="23" s="1"/>
  <c r="M27" i="22"/>
  <c r="F42" i="23" s="1"/>
  <c r="N27" i="22"/>
  <c r="G42" i="23" s="1"/>
  <c r="O27" i="22"/>
  <c r="H42" i="23" s="1"/>
  <c r="Q27" i="22"/>
  <c r="J42" i="23" s="1"/>
  <c r="R27" i="22"/>
  <c r="K42" i="23" s="1"/>
  <c r="S27" i="22"/>
  <c r="L42" i="23" s="1"/>
  <c r="U27" i="22"/>
  <c r="N42" i="23" s="1"/>
  <c r="I25" i="22"/>
  <c r="V27" i="22"/>
  <c r="O42" i="23" s="1"/>
  <c r="N26" i="22"/>
  <c r="G41" i="23" s="1"/>
  <c r="P25" i="22"/>
  <c r="I40" i="23" s="1"/>
  <c r="O25" i="22"/>
  <c r="H40" i="23" s="1"/>
  <c r="I30" i="22"/>
  <c r="I29" i="22"/>
  <c r="I26" i="22"/>
  <c r="V38" i="22"/>
  <c r="O42" i="24" s="1"/>
  <c r="U38" i="22"/>
  <c r="N42" i="24" s="1"/>
  <c r="S38" i="22"/>
  <c r="L42" i="24" s="1"/>
  <c r="Q38" i="22"/>
  <c r="J42" i="24" s="1"/>
  <c r="P38" i="22"/>
  <c r="I42" i="24" s="1"/>
  <c r="O38" i="22"/>
  <c r="H42" i="24" s="1"/>
  <c r="M38" i="22"/>
  <c r="F42" i="24" s="1"/>
  <c r="L38" i="22"/>
  <c r="E42" i="24" s="1"/>
  <c r="J38" i="22"/>
  <c r="C42" i="24" s="1"/>
  <c r="V37" i="22"/>
  <c r="O41" i="24" s="1"/>
  <c r="U37" i="22"/>
  <c r="N41" i="24" s="1"/>
  <c r="T37" i="22"/>
  <c r="M41" i="24" s="1"/>
  <c r="S37" i="22"/>
  <c r="L41" i="24" s="1"/>
  <c r="Q37" i="22"/>
  <c r="J41" i="24" s="1"/>
  <c r="P37" i="22"/>
  <c r="I41" i="24" s="1"/>
  <c r="N37" i="22"/>
  <c r="G41" i="24" s="1"/>
  <c r="M37" i="22"/>
  <c r="L37" i="22"/>
  <c r="E41" i="24" s="1"/>
  <c r="K37" i="22"/>
  <c r="D41" i="24" s="1"/>
  <c r="J37" i="22"/>
  <c r="C41" i="24" s="1"/>
  <c r="T36" i="22"/>
  <c r="S36" i="22"/>
  <c r="L40" i="24" s="1"/>
  <c r="P36" i="22"/>
  <c r="O36" i="22"/>
  <c r="H40" i="24" s="1"/>
  <c r="K36" i="22"/>
  <c r="I38" i="22"/>
  <c r="I41" i="22"/>
  <c r="I40" i="22"/>
  <c r="T38" i="22"/>
  <c r="M42" i="24" s="1"/>
  <c r="R38" i="22"/>
  <c r="K42" i="24" s="1"/>
  <c r="N38" i="22"/>
  <c r="G42" i="24" s="1"/>
  <c r="R37" i="22"/>
  <c r="K41" i="24" s="1"/>
  <c r="O37" i="22"/>
  <c r="H41" i="24" s="1"/>
  <c r="L36" i="22"/>
  <c r="E40" i="24" s="1"/>
  <c r="A43" i="24"/>
  <c r="A42" i="24"/>
  <c r="A41" i="24"/>
  <c r="A40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A39" i="24"/>
  <c r="A43" i="23"/>
  <c r="A42" i="23"/>
  <c r="A41" i="23"/>
  <c r="A40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A39" i="23"/>
  <c r="V42" i="14"/>
  <c r="V41" i="14"/>
  <c r="V40" i="14"/>
  <c r="U42" i="14"/>
  <c r="U41" i="14"/>
  <c r="U40" i="14"/>
  <c r="T42" i="14"/>
  <c r="T41" i="14"/>
  <c r="T40" i="14"/>
  <c r="S42" i="14"/>
  <c r="S41" i="14"/>
  <c r="S40" i="14"/>
  <c r="R42" i="14"/>
  <c r="R41" i="14"/>
  <c r="R40" i="14"/>
  <c r="Q42" i="14"/>
  <c r="W42" i="14" s="1"/>
  <c r="Q41" i="14"/>
  <c r="W41" i="14" s="1"/>
  <c r="Q40" i="14"/>
  <c r="W40" i="14" s="1"/>
  <c r="E42" i="14"/>
  <c r="D42" i="14"/>
  <c r="C42" i="14"/>
  <c r="E41" i="14"/>
  <c r="D41" i="14"/>
  <c r="C41" i="14"/>
  <c r="E40" i="14"/>
  <c r="D40" i="14"/>
  <c r="C40" i="14"/>
  <c r="B42" i="14"/>
  <c r="I42" i="14" s="1"/>
  <c r="B41" i="14"/>
  <c r="I41" i="14" s="1"/>
  <c r="B40" i="14"/>
  <c r="I40" i="14" s="1"/>
  <c r="A43" i="19"/>
  <c r="A42" i="19"/>
  <c r="A41" i="19"/>
  <c r="A40" i="19"/>
  <c r="O39" i="19"/>
  <c r="N39" i="19"/>
  <c r="M39" i="19"/>
  <c r="L39" i="19"/>
  <c r="K39" i="19"/>
  <c r="J39" i="19"/>
  <c r="I39" i="19"/>
  <c r="H39" i="19"/>
  <c r="G39" i="19"/>
  <c r="E39" i="19"/>
  <c r="D39" i="19"/>
  <c r="F39" i="19"/>
  <c r="C39" i="19"/>
  <c r="B39" i="19"/>
  <c r="A39" i="19"/>
  <c r="H59" i="22"/>
  <c r="H58" i="22"/>
  <c r="L57" i="22"/>
  <c r="H57" i="22"/>
  <c r="M31" i="22"/>
  <c r="K31" i="22"/>
  <c r="J31" i="22"/>
  <c r="L31" i="22"/>
  <c r="N31" i="22"/>
  <c r="V31" i="22"/>
  <c r="U31" i="22"/>
  <c r="T31" i="22"/>
  <c r="S31" i="22"/>
  <c r="R31" i="22"/>
  <c r="Q31" i="22"/>
  <c r="P31" i="22"/>
  <c r="O31" i="22"/>
  <c r="I31" i="22"/>
  <c r="M20" i="22"/>
  <c r="K20" i="22"/>
  <c r="J20" i="22"/>
  <c r="L20" i="22"/>
  <c r="N20" i="22"/>
  <c r="V20" i="22"/>
  <c r="U20" i="22"/>
  <c r="T20" i="22"/>
  <c r="S20" i="22"/>
  <c r="R20" i="22"/>
  <c r="Q20" i="22"/>
  <c r="P20" i="22"/>
  <c r="O20" i="22"/>
  <c r="I20" i="22"/>
  <c r="M9" i="22"/>
  <c r="K9" i="22"/>
  <c r="J9" i="22"/>
  <c r="L9" i="22"/>
  <c r="N9" i="22"/>
  <c r="V9" i="22"/>
  <c r="U9" i="22"/>
  <c r="T9" i="22"/>
  <c r="S9" i="22"/>
  <c r="R9" i="22"/>
  <c r="Q9" i="22"/>
  <c r="P9" i="22"/>
  <c r="O9" i="22"/>
  <c r="I9" i="22"/>
  <c r="M8" i="22"/>
  <c r="K8" i="22"/>
  <c r="J8" i="22"/>
  <c r="L8" i="22"/>
  <c r="N8" i="22"/>
  <c r="V8" i="22"/>
  <c r="U8" i="22"/>
  <c r="T8" i="22"/>
  <c r="S8" i="22"/>
  <c r="R8" i="22"/>
  <c r="Q8" i="22"/>
  <c r="P8" i="22"/>
  <c r="O8" i="22"/>
  <c r="I8" i="22"/>
  <c r="M7" i="22"/>
  <c r="K7" i="22"/>
  <c r="J7" i="22"/>
  <c r="L7" i="22"/>
  <c r="N7" i="22"/>
  <c r="V7" i="22"/>
  <c r="U7" i="22"/>
  <c r="T7" i="22"/>
  <c r="S7" i="22"/>
  <c r="R7" i="22"/>
  <c r="Q7" i="22"/>
  <c r="P7" i="22"/>
  <c r="O7" i="22"/>
  <c r="I7" i="22"/>
  <c r="M6" i="22"/>
  <c r="K6" i="22"/>
  <c r="J6" i="22"/>
  <c r="N6" i="22"/>
  <c r="V6" i="22"/>
  <c r="U6" i="22"/>
  <c r="T6" i="22"/>
  <c r="S6" i="22"/>
  <c r="R6" i="22"/>
  <c r="Q6" i="22"/>
  <c r="P6" i="22"/>
  <c r="O6" i="22"/>
  <c r="I6" i="22"/>
  <c r="S40" i="22" l="1"/>
  <c r="W40" i="22"/>
  <c r="X40" i="22"/>
  <c r="J29" i="22"/>
  <c r="W29" i="22"/>
  <c r="X29" i="22"/>
  <c r="W30" i="22"/>
  <c r="X30" i="22"/>
  <c r="W19" i="22"/>
  <c r="X19" i="22"/>
  <c r="T41" i="22"/>
  <c r="W41" i="22"/>
  <c r="X41" i="22"/>
  <c r="X18" i="22"/>
  <c r="W18" i="22"/>
  <c r="I57" i="22"/>
  <c r="L59" i="22" s="1"/>
  <c r="T40" i="22"/>
  <c r="K16" i="22"/>
  <c r="N40" i="22"/>
  <c r="J40" i="22"/>
  <c r="P40" i="22"/>
  <c r="U40" i="22"/>
  <c r="U41" i="22"/>
  <c r="L40" i="22"/>
  <c r="Q40" i="22"/>
  <c r="V40" i="22"/>
  <c r="M40" i="22"/>
  <c r="R40" i="22"/>
  <c r="M41" i="22"/>
  <c r="Q41" i="22"/>
  <c r="J41" i="22"/>
  <c r="N41" i="22"/>
  <c r="R41" i="22"/>
  <c r="V41" i="22"/>
  <c r="K40" i="22"/>
  <c r="O40" i="22"/>
  <c r="K41" i="22"/>
  <c r="O41" i="22"/>
  <c r="S41" i="22"/>
  <c r="L41" i="22"/>
  <c r="P41" i="22"/>
  <c r="R19" i="22"/>
  <c r="U19" i="22"/>
  <c r="Q19" i="22"/>
  <c r="M19" i="22"/>
  <c r="T19" i="22"/>
  <c r="P19" i="22"/>
  <c r="L19" i="22"/>
  <c r="S19" i="22"/>
  <c r="O19" i="22"/>
  <c r="K19" i="22"/>
  <c r="V19" i="22"/>
  <c r="N19" i="22"/>
  <c r="J19" i="22"/>
  <c r="M18" i="22"/>
  <c r="T18" i="22"/>
  <c r="P18" i="22"/>
  <c r="S18" i="22"/>
  <c r="O18" i="22"/>
  <c r="K18" i="22"/>
  <c r="L18" i="22"/>
  <c r="V18" i="22"/>
  <c r="R18" i="22"/>
  <c r="N18" i="22"/>
  <c r="U18" i="22"/>
  <c r="Q18" i="22"/>
  <c r="J18" i="22"/>
  <c r="R13" i="22"/>
  <c r="R17" i="22" s="1"/>
  <c r="K43" i="19" s="1"/>
  <c r="C40" i="19"/>
  <c r="D43" i="19"/>
  <c r="J41" i="19"/>
  <c r="N41" i="19"/>
  <c r="E42" i="19"/>
  <c r="I42" i="19"/>
  <c r="M42" i="19"/>
  <c r="N35" i="22"/>
  <c r="N39" i="22" s="1"/>
  <c r="G43" i="24" s="1"/>
  <c r="R35" i="22"/>
  <c r="R39" i="22" s="1"/>
  <c r="D42" i="19"/>
  <c r="F41" i="19"/>
  <c r="E41" i="19"/>
  <c r="I41" i="19"/>
  <c r="M41" i="19"/>
  <c r="I15" i="22"/>
  <c r="B41" i="19" s="1"/>
  <c r="J40" i="19"/>
  <c r="N40" i="19"/>
  <c r="K40" i="19"/>
  <c r="O40" i="19"/>
  <c r="E40" i="19"/>
  <c r="I13" i="22"/>
  <c r="M35" i="22"/>
  <c r="M39" i="22" s="1"/>
  <c r="Q35" i="22"/>
  <c r="Q39" i="22" s="1"/>
  <c r="U35" i="22"/>
  <c r="U39" i="22" s="1"/>
  <c r="J35" i="22"/>
  <c r="J39" i="22" s="1"/>
  <c r="V35" i="22"/>
  <c r="V39" i="22" s="1"/>
  <c r="I24" i="22"/>
  <c r="I28" i="22" s="1"/>
  <c r="B43" i="23" s="1"/>
  <c r="K24" i="22"/>
  <c r="K28" i="22" s="1"/>
  <c r="O24" i="22"/>
  <c r="O28" i="22" s="1"/>
  <c r="S24" i="22"/>
  <c r="S28" i="22" s="1"/>
  <c r="L43" i="23" s="1"/>
  <c r="J25" i="22"/>
  <c r="C40" i="23" s="1"/>
  <c r="N25" i="22"/>
  <c r="G40" i="23" s="1"/>
  <c r="R25" i="22"/>
  <c r="K40" i="23" s="1"/>
  <c r="V25" i="22"/>
  <c r="O40" i="23" s="1"/>
  <c r="M26" i="22"/>
  <c r="F41" i="23" s="1"/>
  <c r="Q26" i="22"/>
  <c r="J41" i="23" s="1"/>
  <c r="U26" i="22"/>
  <c r="N41" i="23" s="1"/>
  <c r="L27" i="22"/>
  <c r="E42" i="23" s="1"/>
  <c r="P27" i="22"/>
  <c r="I42" i="23" s="1"/>
  <c r="T27" i="22"/>
  <c r="M42" i="23" s="1"/>
  <c r="L24" i="22"/>
  <c r="L28" i="22" s="1"/>
  <c r="E43" i="23" s="1"/>
  <c r="P24" i="22"/>
  <c r="P28" i="22" s="1"/>
  <c r="T24" i="22"/>
  <c r="T28" i="22" s="1"/>
  <c r="M24" i="22"/>
  <c r="M28" i="22" s="1"/>
  <c r="F43" i="23" s="1"/>
  <c r="Q24" i="22"/>
  <c r="Q28" i="22" s="1"/>
  <c r="J43" i="23" s="1"/>
  <c r="U24" i="22"/>
  <c r="U28" i="22" s="1"/>
  <c r="N43" i="23" s="1"/>
  <c r="I27" i="22"/>
  <c r="B42" i="23" s="1"/>
  <c r="B41" i="23"/>
  <c r="J24" i="22"/>
  <c r="J28" i="22" s="1"/>
  <c r="N24" i="22"/>
  <c r="N28" i="22" s="1"/>
  <c r="R24" i="22"/>
  <c r="R28" i="22" s="1"/>
  <c r="V24" i="22"/>
  <c r="V28" i="22" s="1"/>
  <c r="K35" i="22"/>
  <c r="K39" i="22" s="1"/>
  <c r="D43" i="24" s="1"/>
  <c r="O35" i="22"/>
  <c r="O39" i="22" s="1"/>
  <c r="S35" i="22"/>
  <c r="S39" i="22" s="1"/>
  <c r="I36" i="22"/>
  <c r="B40" i="24" s="1"/>
  <c r="M36" i="22"/>
  <c r="F40" i="24" s="1"/>
  <c r="Q36" i="22"/>
  <c r="J40" i="24" s="1"/>
  <c r="U36" i="22"/>
  <c r="N40" i="24" s="1"/>
  <c r="L35" i="22"/>
  <c r="L39" i="22" s="1"/>
  <c r="P35" i="22"/>
  <c r="P39" i="22" s="1"/>
  <c r="I43" i="24" s="1"/>
  <c r="T35" i="22"/>
  <c r="T39" i="22" s="1"/>
  <c r="M43" i="24" s="1"/>
  <c r="J36" i="22"/>
  <c r="C40" i="24" s="1"/>
  <c r="N36" i="22"/>
  <c r="G40" i="24" s="1"/>
  <c r="R36" i="22"/>
  <c r="K40" i="24" s="1"/>
  <c r="V36" i="22"/>
  <c r="O40" i="24" s="1"/>
  <c r="I35" i="22"/>
  <c r="I39" i="22" s="1"/>
  <c r="I37" i="22"/>
  <c r="B41" i="24" s="1"/>
  <c r="K38" i="22"/>
  <c r="D42" i="24" s="1"/>
  <c r="F41" i="24"/>
  <c r="B42" i="24"/>
  <c r="N43" i="24"/>
  <c r="G41" i="19"/>
  <c r="G42" i="19"/>
  <c r="G40" i="19"/>
  <c r="R29" i="22"/>
  <c r="M29" i="22"/>
  <c r="B40" i="19"/>
  <c r="Q13" i="22"/>
  <c r="Q17" i="22" s="1"/>
  <c r="E40" i="23"/>
  <c r="V13" i="22"/>
  <c r="V17" i="22" s="1"/>
  <c r="K57" i="22"/>
  <c r="K59" i="22"/>
  <c r="L13" i="22"/>
  <c r="L17" i="22" s="1"/>
  <c r="U29" i="22"/>
  <c r="I40" i="24"/>
  <c r="M59" i="22"/>
  <c r="S13" i="22"/>
  <c r="S17" i="22" s="1"/>
  <c r="J13" i="22"/>
  <c r="J17" i="22" s="1"/>
  <c r="V29" i="22"/>
  <c r="N57" i="22"/>
  <c r="I59" i="22"/>
  <c r="N59" i="22"/>
  <c r="O13" i="22"/>
  <c r="O17" i="22" s="1"/>
  <c r="U13" i="22"/>
  <c r="U17" i="22" s="1"/>
  <c r="M13" i="22"/>
  <c r="M17" i="22" s="1"/>
  <c r="O29" i="22"/>
  <c r="J57" i="22"/>
  <c r="O57" i="22"/>
  <c r="J59" i="22"/>
  <c r="M40" i="24"/>
  <c r="D40" i="24"/>
  <c r="J40" i="23"/>
  <c r="L40" i="23"/>
  <c r="V30" i="22"/>
  <c r="S30" i="22"/>
  <c r="O30" i="22"/>
  <c r="J30" i="22"/>
  <c r="U30" i="22"/>
  <c r="P30" i="22"/>
  <c r="L30" i="22"/>
  <c r="T30" i="22"/>
  <c r="Q30" i="22"/>
  <c r="M30" i="22"/>
  <c r="N30" i="22"/>
  <c r="R30" i="22"/>
  <c r="K30" i="22"/>
  <c r="D40" i="19"/>
  <c r="P13" i="22"/>
  <c r="P17" i="22" s="1"/>
  <c r="T13" i="22"/>
  <c r="T17" i="22" s="1"/>
  <c r="N13" i="22"/>
  <c r="N17" i="22" s="1"/>
  <c r="N40" i="23"/>
  <c r="K29" i="22"/>
  <c r="N29" i="22"/>
  <c r="T29" i="22"/>
  <c r="P29" i="22"/>
  <c r="S29" i="22"/>
  <c r="L29" i="22"/>
  <c r="B40" i="23"/>
  <c r="F40" i="23"/>
  <c r="Q29" i="22"/>
  <c r="K52" i="22"/>
  <c r="J54" i="22"/>
  <c r="I54" i="22"/>
  <c r="M57" i="22"/>
  <c r="O59" i="22" l="1"/>
  <c r="I17" i="22"/>
  <c r="B43" i="19" s="1"/>
  <c r="H43" i="19"/>
  <c r="O43" i="24"/>
  <c r="I43" i="19"/>
  <c r="D43" i="23"/>
  <c r="E43" i="24"/>
  <c r="E43" i="19"/>
  <c r="O43" i="19"/>
  <c r="J43" i="19"/>
  <c r="K43" i="23"/>
  <c r="G43" i="23"/>
  <c r="L43" i="24"/>
  <c r="O43" i="23"/>
  <c r="F43" i="24"/>
  <c r="C43" i="24"/>
  <c r="B43" i="24"/>
  <c r="F43" i="19"/>
  <c r="C43" i="19"/>
  <c r="K43" i="24"/>
  <c r="M43" i="19"/>
  <c r="H43" i="23"/>
  <c r="H43" i="24"/>
  <c r="J43" i="24"/>
  <c r="C43" i="23"/>
  <c r="I43" i="23"/>
  <c r="M43" i="23"/>
  <c r="N43" i="19"/>
  <c r="L43" i="19"/>
  <c r="K54" i="22"/>
  <c r="L52" i="22"/>
  <c r="G43" i="19" l="1"/>
  <c r="L54" i="22"/>
  <c r="M52" i="22"/>
  <c r="AE18" i="14"/>
  <c r="AE17" i="14"/>
  <c r="N52" i="22" l="1"/>
  <c r="M54" i="22"/>
  <c r="O52" i="22" l="1"/>
  <c r="N54" i="22"/>
  <c r="O54" i="22" l="1"/>
  <c r="P52" i="22"/>
  <c r="P54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Kuijpers, Wim</author>
  </authors>
  <commentList>
    <comment ref="I1" authorId="0" shapeId="0" xr:uid="{7B8D4C7A-61A8-4726-8675-965382CC53B0}">
      <text>
        <r>
          <rPr>
            <b/>
            <sz val="9"/>
            <color indexed="81"/>
            <rFont val="Tahoma"/>
            <family val="2"/>
          </rPr>
          <t>Berekening op basis van EN50549-2 hoekpunten bij maximaal vermogen</t>
        </r>
      </text>
    </comment>
    <comment ref="H3" authorId="0" shapeId="0" xr:uid="{15E01F68-3A61-4FFD-984C-E4D0C7C11387}">
      <text>
        <r>
          <rPr>
            <b/>
            <sz val="9"/>
            <color indexed="81"/>
            <rFont val="Tahoma"/>
            <family val="2"/>
          </rPr>
          <t>Fixed per unit voltage at connection point as required for load flow case</t>
        </r>
      </text>
    </comment>
    <comment ref="H4" authorId="0" shapeId="0" xr:uid="{090D3D76-FB44-4130-9A92-5ECD1A15E1B7}">
      <text>
        <r>
          <rPr>
            <b/>
            <sz val="9"/>
            <color indexed="81"/>
            <rFont val="Tahoma"/>
            <family val="2"/>
          </rPr>
          <t>MW at connection point of PPM in load flow case</t>
        </r>
      </text>
    </comment>
    <comment ref="C5" authorId="0" shapeId="0" xr:uid="{633E61AD-ADBB-4B22-8AB8-B5A630830DAE}">
      <text>
        <r>
          <rPr>
            <b/>
            <sz val="9"/>
            <color indexed="81"/>
            <rFont val="Tahoma"/>
            <family val="2"/>
          </rPr>
          <t>Name of PPM as per PGMD form</t>
        </r>
      </text>
    </comment>
    <comment ref="H5" authorId="0" shapeId="0" xr:uid="{5EBDCF5F-0F81-4EFB-A519-59D65356FA54}">
      <text>
        <r>
          <rPr>
            <b/>
            <sz val="9"/>
            <color indexed="81"/>
            <rFont val="Tahoma"/>
            <family val="2"/>
          </rPr>
          <t>Mvar at connection point of PPM in load flow case</t>
        </r>
      </text>
    </comment>
    <comment ref="D6" authorId="0" shapeId="0" xr:uid="{BE50C338-21E3-434A-B310-938EF348A03C}">
      <text>
        <r>
          <rPr>
            <b/>
            <sz val="9"/>
            <color indexed="81"/>
            <rFont val="Tahoma"/>
            <family val="2"/>
          </rPr>
          <t>Declared voltage as stated in PGMD form</t>
        </r>
      </text>
    </comment>
    <comment ref="D7" authorId="0" shapeId="0" xr:uid="{812B216C-5579-4EDC-AC8C-A2C836FC136C}">
      <text>
        <r>
          <rPr>
            <b/>
            <sz val="10"/>
            <color indexed="81"/>
            <rFont val="Tahoma"/>
            <family val="2"/>
          </rPr>
          <t>Maximum active power at connection point at rated voltage and no reactive power exchange at connection point.</t>
        </r>
        <r>
          <rPr>
            <b/>
            <sz val="11"/>
            <color indexed="81"/>
            <rFont val="Tahoma"/>
            <family val="2"/>
          </rPr>
          <t xml:space="preserve"> </t>
        </r>
      </text>
    </comment>
    <comment ref="D8" authorId="0" shapeId="0" xr:uid="{DF978854-BC7D-45EA-B18E-BD461873E8B4}">
      <text>
        <r>
          <rPr>
            <b/>
            <sz val="9"/>
            <color indexed="81"/>
            <rFont val="Tahoma"/>
            <family val="2"/>
          </rPr>
          <t>Connection capacity as per connection agreement</t>
        </r>
      </text>
    </comment>
    <comment ref="C9" authorId="0" shapeId="0" xr:uid="{B25E65AD-4508-4432-8131-C65F6CFA529E}">
      <text>
        <r>
          <rPr>
            <b/>
            <sz val="9"/>
            <color indexed="81"/>
            <rFont val="Tahoma"/>
            <family val="2"/>
          </rPr>
          <t>Make and type units type 1 as per PGMD form</t>
        </r>
      </text>
    </comment>
    <comment ref="C10" authorId="0" shapeId="0" xr:uid="{83BA5C54-80EC-4AEE-B81C-C6BC0CA4BE2F}">
      <text>
        <r>
          <rPr>
            <b/>
            <sz val="9"/>
            <color indexed="81"/>
            <rFont val="Tahoma"/>
            <family val="2"/>
          </rPr>
          <t>Make and type units type 2 as per PGMD form</t>
        </r>
      </text>
    </comment>
    <comment ref="H10" authorId="0" shapeId="0" xr:uid="{2F546A54-C4DB-43F3-9B46-F51B9F2E1BD7}">
      <text>
        <r>
          <rPr>
            <b/>
            <sz val="9"/>
            <color indexed="81"/>
            <rFont val="Tahoma"/>
            <family val="2"/>
          </rPr>
          <t>kVA output at terminals of unit with highest kVA output in load flow case</t>
        </r>
      </text>
    </comment>
    <comment ref="C11" authorId="0" shapeId="0" xr:uid="{ED3C9496-22E3-44EB-B855-21EEEE363F7B}">
      <text>
        <r>
          <rPr>
            <b/>
            <sz val="9"/>
            <color indexed="81"/>
            <rFont val="Tahoma"/>
            <family val="2"/>
          </rPr>
          <t>Make and type units type 3 as per PGMD form</t>
        </r>
      </text>
    </comment>
    <comment ref="H11" authorId="0" shapeId="0" xr:uid="{5F8CF111-91DF-4175-BAF6-5D19D4D1AE3D}">
      <text>
        <r>
          <rPr>
            <b/>
            <sz val="9"/>
            <color indexed="81"/>
            <rFont val="Tahoma"/>
            <family val="2"/>
          </rPr>
          <t>voltage at terminals of unit with highest voltage in load flow case</t>
        </r>
      </text>
    </comment>
    <comment ref="H12" authorId="0" shapeId="0" xr:uid="{09B33B44-A915-463F-BC4C-1A00B4D4B579}">
      <text>
        <r>
          <rPr>
            <b/>
            <sz val="9"/>
            <color indexed="81"/>
            <rFont val="Tahoma"/>
            <family val="2"/>
          </rPr>
          <t>voltage at terminals of unit with lowest voltage in load flow case</t>
        </r>
      </text>
    </comment>
    <comment ref="D13" authorId="0" shapeId="0" xr:uid="{6ECECFBF-A61A-4768-BE67-C1CFC098A789}">
      <text>
        <r>
          <rPr>
            <b/>
            <sz val="9"/>
            <color indexed="81"/>
            <rFont val="Tahoma"/>
            <family val="2"/>
          </rPr>
          <t>Include number and technical data of units type 1</t>
        </r>
      </text>
    </comment>
    <comment ref="E13" authorId="0" shapeId="0" xr:uid="{82A61B95-7071-48FC-8B1F-CB7DD876D3AC}">
      <text>
        <r>
          <rPr>
            <b/>
            <sz val="9"/>
            <color indexed="81"/>
            <rFont val="Tahoma"/>
            <family val="2"/>
          </rPr>
          <t>Include number and technical data of units type 2</t>
        </r>
      </text>
    </comment>
    <comment ref="F13" authorId="0" shapeId="0" xr:uid="{745570A9-6E5D-4516-9BCA-F17A897C6D63}">
      <text>
        <r>
          <rPr>
            <b/>
            <sz val="9"/>
            <color indexed="81"/>
            <rFont val="Tahoma"/>
            <family val="2"/>
          </rPr>
          <t>Include number and technical data of units type 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Kuijpers, Wim</author>
  </authors>
  <commentList>
    <comment ref="A39" authorId="0" shapeId="0" xr:uid="{3771E7F0-9A55-4CD4-AC74-7540B04EC03A}">
      <text>
        <r>
          <rPr>
            <b/>
            <sz val="9"/>
            <color indexed="81"/>
            <rFont val="Tahoma"/>
            <family val="2"/>
          </rPr>
          <t>In "Blindvermogen-spanningsvenster" the red and brown window need to cover the blua window for compliance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<sst xmlns="http://schemas.openxmlformats.org/spreadsheetml/2006/main" count="153" uniqueCount="86">
  <si>
    <t>Qmax</t>
  </si>
  <si>
    <t>Uc (p.u.)</t>
  </si>
  <si>
    <r>
      <t>Q/P</t>
    </r>
    <r>
      <rPr>
        <b/>
        <vertAlign val="subscript"/>
        <sz val="10"/>
        <rFont val="Arial"/>
        <family val="2"/>
      </rPr>
      <t>max, Qc=0</t>
    </r>
  </si>
  <si>
    <t>Cases Q-U resp. Q-P (NBNL RFG CVD v1.3</t>
  </si>
  <si>
    <t>Name PGM</t>
  </si>
  <si>
    <t>Grid</t>
  </si>
  <si>
    <t xml:space="preserve">Unit 1 type: </t>
  </si>
  <si>
    <t xml:space="preserve">Unit 2 type: </t>
  </si>
  <si>
    <t>Unit type</t>
  </si>
  <si>
    <t>Unit data</t>
  </si>
  <si>
    <t>Declared voltage connection point Uc (kV):</t>
  </si>
  <si>
    <t>Total number</t>
  </si>
  <si>
    <t>Active power Pnom  (kW)</t>
  </si>
  <si>
    <t>Apparent power Snom (kVA)</t>
  </si>
  <si>
    <t>Maximum reactive power supply +Qnom (kVAr)</t>
  </si>
  <si>
    <t>Maximum reactive power absorption -Qnom (kVAr)</t>
  </si>
  <si>
    <t>Nominal voltage Unom (V)</t>
  </si>
  <si>
    <t>Maximum current Imax (A)</t>
  </si>
  <si>
    <t>Maximum voltage Umax (V)</t>
  </si>
  <si>
    <t>Minimum voltage Umin (V)</t>
  </si>
  <si>
    <t>Results loadflow</t>
  </si>
  <si>
    <t>Uc grid voltage (p.u.)</t>
  </si>
  <si>
    <t>Active power connection point Pc (MW)</t>
  </si>
  <si>
    <t>Reactive power connection point Qc (Mvar)</t>
  </si>
  <si>
    <t>Active power connection point Pc (p.u)</t>
  </si>
  <si>
    <t>Reactive power connection point Qc (p.u.)</t>
  </si>
  <si>
    <t>Apparent power connection point (MVA)</t>
  </si>
  <si>
    <t>Unit type 1</t>
  </si>
  <si>
    <t>Unit type 2</t>
  </si>
  <si>
    <t>Cell Color identification</t>
  </si>
  <si>
    <t>Cells  for input data and results  load flow calculations</t>
  </si>
  <si>
    <t>Grid code Q-P window at connection point</t>
  </si>
  <si>
    <t>P (Qc=0)</t>
  </si>
  <si>
    <t>Grid code Q-U window at connection point</t>
  </si>
  <si>
    <t>Maximum active power PGM Pmax at Qc=0 (MW)</t>
  </si>
  <si>
    <t>Pmax (MW) at Qc=0:</t>
  </si>
  <si>
    <t>Unit type 3</t>
  </si>
  <si>
    <t>Calculated or copied values for information</t>
  </si>
  <si>
    <t>Load Flow Case</t>
  </si>
  <si>
    <t>Load flow cases 6-12: Voltage-Reactive power. Red window needs to cover blue window completely</t>
  </si>
  <si>
    <t>Load Flow cases 0-5: Reactive - Active power. Red window needs to cover blue window completely</t>
  </si>
  <si>
    <t>One per unit line</t>
  </si>
  <si>
    <t>Maximum apparent power unit (kVA)</t>
  </si>
  <si>
    <t>Maximum voltage unit (V)</t>
  </si>
  <si>
    <t>Minimum voltage unit (V)</t>
  </si>
  <si>
    <t>Maximum current unit (A)</t>
  </si>
  <si>
    <t>Maximum apparent power unit (p.u.)</t>
  </si>
  <si>
    <t>Maximum voltage unit (p.u.)</t>
  </si>
  <si>
    <t>Minimum voltage unit (p.u.)</t>
  </si>
  <si>
    <t>Maximum current unit (p.u.)</t>
  </si>
  <si>
    <t>Maximum voltage limit unit (p.u.)</t>
  </si>
  <si>
    <t>Minimum voltage limit unit (p.u.)</t>
  </si>
  <si>
    <t>Unit 3 type</t>
  </si>
  <si>
    <t>Connection capacity grid connection point  (MVA)</t>
  </si>
  <si>
    <t>Name as per PGMD</t>
  </si>
  <si>
    <t>wind turbine or PV-inverter</t>
  </si>
  <si>
    <t>Reminder: calculated value exceeds connection capacity</t>
  </si>
  <si>
    <t>Pmax</t>
  </si>
  <si>
    <t>Points 3-4</t>
  </si>
  <si>
    <t>Cases 1 - 13</t>
  </si>
  <si>
    <t>Calculated values, parameter within targets, capability, not exceeding limits</t>
  </si>
  <si>
    <t>Calculated values, parameter outside targets, capability, exceeding limits</t>
  </si>
  <si>
    <t>P3</t>
  </si>
  <si>
    <t>P4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</si>
  <si>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</si>
  <si>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</si>
  <si>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</si>
  <si>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</si>
  <si>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</si>
  <si>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</si>
  <si>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</si>
  <si>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</si>
  <si>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</si>
  <si>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</si>
  <si>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</si>
  <si>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</si>
  <si>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</si>
  <si>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Click on DNV document below</t>
  </si>
  <si>
    <t xml:space="preserve">Right click mouse </t>
  </si>
  <si>
    <t>Unprotect Macro protection if applicable</t>
  </si>
  <si>
    <t>Choose "Acrobat Document Object" and "Open"</t>
  </si>
  <si>
    <t>Memo should open in Acrobat window</t>
  </si>
  <si>
    <t>Explanation using BLOR report tool see memo</t>
  </si>
  <si>
    <t>Eisen voor opwekeenheden, opslag, verbruikseenheden met vraagsturing en HVDC | Netbeheer Nederland</t>
  </si>
  <si>
    <t>Or download BLOR report tool explanation from</t>
  </si>
  <si>
    <t>BLOR Excel load flow report tool Type B PGM  
revision 01-01-2025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</si>
</sst>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)"/>
    <numFmt numFmtId="165" formatCode="0.000"/>
    <numFmt numFmtId="166" formatCode="0.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vertAlign val="subscript"/>
      <sz val="10"/>
      <name val="Arial"/>
      <family val="2"/>
    </font>
    <font>
      <sz val="10"/>
      <color theme="0"/>
      <name val="Arial"/>
      <family val="2"/>
    </font>
    <font>
      <b/>
      <sz val="10"/>
      <color rgb="FFC00000"/>
      <name val="Arial"/>
      <family val="2"/>
    </font>
    <font>
      <b/>
      <sz val="10"/>
      <color rgb="FF00B050"/>
      <name val="Arial"/>
      <family val="2"/>
    </font>
    <font>
      <sz val="10"/>
      <color rgb="FFC00000"/>
      <name val="Arial"/>
      <family val="2"/>
    </font>
    <font>
      <sz val="10"/>
      <color rgb="FF00B05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</fills>
  <borders count="10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ck">
        <color auto="1"/>
      </left>
      <right style="medium">
        <color indexed="64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rgb="FFC00000"/>
      </left>
      <right style="thick">
        <color rgb="FF0070C0"/>
      </right>
      <top style="thick">
        <color rgb="FF0070C0"/>
      </top>
      <bottom/>
      <diagonal/>
    </border>
    <border>
      <left style="thick">
        <color rgb="FFC00000"/>
      </left>
      <right style="thick">
        <color rgb="FF0070C0"/>
      </right>
      <top/>
      <bottom/>
      <diagonal/>
    </border>
    <border>
      <left style="thick">
        <color rgb="FFC00000"/>
      </left>
      <right style="thick">
        <color rgb="FF0070C0"/>
      </right>
      <top/>
      <bottom style="thick">
        <color rgb="FF0070C0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auto="1"/>
      </bottom>
      <diagonal/>
    </border>
    <border>
      <left/>
      <right style="thick">
        <color rgb="FFC00000"/>
      </right>
      <top/>
      <bottom/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n">
        <color theme="1"/>
      </left>
      <right style="thick">
        <color rgb="FF00B050"/>
      </right>
      <top style="thin">
        <color auto="1"/>
      </top>
      <bottom/>
      <diagonal/>
    </border>
    <border>
      <left style="thin">
        <color theme="1"/>
      </left>
      <right style="thick">
        <color rgb="FF00B050"/>
      </right>
      <top/>
      <bottom/>
      <diagonal/>
    </border>
    <border>
      <left style="thin">
        <color theme="1"/>
      </left>
      <right style="thick">
        <color rgb="FF00B050"/>
      </right>
      <top/>
      <bottom style="thick">
        <color rgb="FF00B050"/>
      </bottom>
      <diagonal/>
    </border>
    <border>
      <left style="thick">
        <color rgb="FFC00000"/>
      </left>
      <right style="thick">
        <color rgb="FF0070C0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ck">
        <color rgb="FF00B050"/>
      </right>
      <top style="thin">
        <color auto="1"/>
      </top>
      <bottom style="thin">
        <color auto="1"/>
      </bottom>
      <diagonal/>
    </border>
    <border>
      <left/>
      <right style="thick">
        <color rgb="FFC00000"/>
      </right>
      <top style="thick">
        <color rgb="FFC00000"/>
      </top>
      <bottom/>
      <diagonal/>
    </border>
    <border>
      <left/>
      <right style="thick">
        <color rgb="FFC00000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ck">
        <color rgb="FF00B050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ck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medium">
        <color auto="1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26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164" fontId="3" fillId="0" borderId="0" xfId="0" applyNumberFormat="1" applyFont="1"/>
    <xf numFmtId="2" fontId="3" fillId="0" borderId="0" xfId="0" applyNumberFormat="1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2" fillId="2" borderId="21" xfId="0" applyNumberFormat="1" applyFont="1" applyFill="1" applyBorder="1"/>
    <xf numFmtId="2" fontId="2" fillId="2" borderId="24" xfId="0" applyNumberFormat="1" applyFont="1" applyFill="1" applyBorder="1"/>
    <xf numFmtId="0" fontId="2" fillId="2" borderId="32" xfId="0" applyFont="1" applyFill="1" applyBorder="1"/>
    <xf numFmtId="2" fontId="2" fillId="2" borderId="33" xfId="0" applyNumberFormat="1" applyFont="1" applyFill="1" applyBorder="1"/>
    <xf numFmtId="166" fontId="3" fillId="0" borderId="0" xfId="0" applyNumberFormat="1" applyFont="1"/>
    <xf numFmtId="2" fontId="0" fillId="0" borderId="0" xfId="0" applyNumberFormat="1"/>
    <xf numFmtId="0" fontId="8" fillId="0" borderId="0" xfId="0" applyFont="1" applyAlignment="1">
      <alignment vertical="top" wrapText="1"/>
    </xf>
    <xf numFmtId="0" fontId="0" fillId="2" borderId="13" xfId="0" applyFill="1" applyBorder="1"/>
    <xf numFmtId="0" fontId="0" fillId="2" borderId="16" xfId="0" applyFill="1" applyBorder="1"/>
    <xf numFmtId="0" fontId="0" fillId="2" borderId="18" xfId="0" applyFill="1" applyBorder="1"/>
    <xf numFmtId="1" fontId="2" fillId="0" borderId="0" xfId="0" applyNumberFormat="1" applyFont="1"/>
    <xf numFmtId="2" fontId="11" fillId="5" borderId="6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" fontId="2" fillId="2" borderId="6" xfId="0" applyNumberFormat="1" applyFont="1" applyFill="1" applyBorder="1" applyAlignment="1">
      <alignment horizontal="center" vertical="center"/>
    </xf>
    <xf numFmtId="2" fontId="11" fillId="5" borderId="9" xfId="0" applyNumberFormat="1" applyFont="1" applyFill="1" applyBorder="1" applyAlignment="1">
      <alignment horizontal="center" vertical="center"/>
    </xf>
    <xf numFmtId="0" fontId="2" fillId="2" borderId="41" xfId="0" applyFont="1" applyFill="1" applyBorder="1"/>
    <xf numFmtId="0" fontId="2" fillId="2" borderId="42" xfId="0" applyFont="1" applyFill="1" applyBorder="1"/>
    <xf numFmtId="164" fontId="2" fillId="2" borderId="42" xfId="0" applyNumberFormat="1" applyFont="1" applyFill="1" applyBorder="1"/>
    <xf numFmtId="0" fontId="12" fillId="2" borderId="42" xfId="0" applyFont="1" applyFill="1" applyBorder="1"/>
    <xf numFmtId="2" fontId="3" fillId="6" borderId="44" xfId="0" applyNumberFormat="1" applyFont="1" applyFill="1" applyBorder="1"/>
    <xf numFmtId="2" fontId="3" fillId="3" borderId="29" xfId="0" applyNumberFormat="1" applyFont="1" applyFill="1" applyBorder="1"/>
    <xf numFmtId="2" fontId="3" fillId="4" borderId="29" xfId="0" applyNumberFormat="1" applyFont="1" applyFill="1" applyBorder="1"/>
    <xf numFmtId="2" fontId="3" fillId="5" borderId="45" xfId="0" applyNumberFormat="1" applyFont="1" applyFill="1" applyBorder="1"/>
    <xf numFmtId="2" fontId="3" fillId="6" borderId="46" xfId="0" applyNumberFormat="1" applyFont="1" applyFill="1" applyBorder="1"/>
    <xf numFmtId="2" fontId="3" fillId="3" borderId="4" xfId="0" applyNumberFormat="1" applyFont="1" applyFill="1" applyBorder="1"/>
    <xf numFmtId="2" fontId="3" fillId="4" borderId="4" xfId="0" applyNumberFormat="1" applyFont="1" applyFill="1" applyBorder="1"/>
    <xf numFmtId="2" fontId="3" fillId="5" borderId="47" xfId="0" applyNumberFormat="1" applyFont="1" applyFill="1" applyBorder="1"/>
    <xf numFmtId="0" fontId="2" fillId="2" borderId="22" xfId="0" applyFont="1" applyFill="1" applyBorder="1" applyAlignment="1">
      <alignment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34" xfId="0" applyFont="1" applyFill="1" applyBorder="1" applyAlignment="1">
      <alignment horizontal="right" vertical="center"/>
    </xf>
    <xf numFmtId="2" fontId="3" fillId="0" borderId="9" xfId="0" applyNumberFormat="1" applyFont="1" applyBorder="1" applyAlignment="1">
      <alignment horizontal="center" vertical="center"/>
    </xf>
    <xf numFmtId="2" fontId="3" fillId="2" borderId="29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2" fontId="3" fillId="2" borderId="23" xfId="0" applyNumberFormat="1" applyFont="1" applyFill="1" applyBorder="1" applyAlignment="1">
      <alignment horizontal="center" vertical="center"/>
    </xf>
    <xf numFmtId="2" fontId="3" fillId="2" borderId="30" xfId="0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/>
    </xf>
    <xf numFmtId="165" fontId="3" fillId="2" borderId="30" xfId="0" applyNumberFormat="1" applyFont="1" applyFill="1" applyBorder="1" applyAlignment="1">
      <alignment horizontal="center" vertical="center"/>
    </xf>
    <xf numFmtId="165" fontId="3" fillId="2" borderId="31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5" fontId="3" fillId="2" borderId="0" xfId="1" applyNumberFormat="1" applyFont="1" applyFill="1" applyAlignment="1" applyProtection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38" xfId="0" applyNumberFormat="1" applyFont="1" applyFill="1" applyBorder="1" applyAlignment="1">
      <alignment horizontal="center" vertical="center"/>
    </xf>
    <xf numFmtId="0" fontId="14" fillId="2" borderId="42" xfId="0" applyFont="1" applyFill="1" applyBorder="1"/>
    <xf numFmtId="0" fontId="15" fillId="2" borderId="42" xfId="0" applyFont="1" applyFill="1" applyBorder="1"/>
    <xf numFmtId="0" fontId="15" fillId="2" borderId="48" xfId="0" applyFont="1" applyFill="1" applyBorder="1"/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9" borderId="51" xfId="0" applyFont="1" applyFill="1" applyBorder="1" applyAlignment="1">
      <alignment vertical="center"/>
    </xf>
    <xf numFmtId="1" fontId="16" fillId="0" borderId="53" xfId="0" applyNumberFormat="1" applyFont="1" applyBorder="1" applyAlignment="1">
      <alignment horizontal="center" vertical="center"/>
    </xf>
    <xf numFmtId="0" fontId="17" fillId="2" borderId="42" xfId="0" applyFont="1" applyFill="1" applyBorder="1"/>
    <xf numFmtId="2" fontId="3" fillId="0" borderId="39" xfId="0" applyNumberFormat="1" applyFont="1" applyBorder="1" applyAlignment="1">
      <alignment horizontal="center" vertical="center"/>
    </xf>
    <xf numFmtId="0" fontId="15" fillId="2" borderId="54" xfId="0" applyFont="1" applyFill="1" applyBorder="1"/>
    <xf numFmtId="2" fontId="11" fillId="5" borderId="39" xfId="0" applyNumberFormat="1" applyFont="1" applyFill="1" applyBorder="1" applyAlignment="1">
      <alignment horizontal="center" vertical="center"/>
    </xf>
    <xf numFmtId="2" fontId="11" fillId="5" borderId="12" xfId="0" applyNumberFormat="1" applyFont="1" applyFill="1" applyBorder="1" applyAlignment="1">
      <alignment horizontal="center" vertical="center"/>
    </xf>
    <xf numFmtId="2" fontId="11" fillId="5" borderId="11" xfId="0" applyNumberFormat="1" applyFont="1" applyFill="1" applyBorder="1" applyAlignment="1">
      <alignment horizontal="center" vertical="center"/>
    </xf>
    <xf numFmtId="0" fontId="14" fillId="2" borderId="54" xfId="0" applyFont="1" applyFill="1" applyBorder="1"/>
    <xf numFmtId="0" fontId="14" fillId="2" borderId="50" xfId="0" applyFont="1" applyFill="1" applyBorder="1"/>
    <xf numFmtId="0" fontId="17" fillId="2" borderId="54" xfId="0" applyFont="1" applyFill="1" applyBorder="1"/>
    <xf numFmtId="2" fontId="3" fillId="0" borderId="55" xfId="0" applyNumberFormat="1" applyFont="1" applyBorder="1" applyAlignment="1">
      <alignment horizontal="center" vertical="center"/>
    </xf>
    <xf numFmtId="0" fontId="17" fillId="2" borderId="50" xfId="0" applyFont="1" applyFill="1" applyBorder="1"/>
    <xf numFmtId="1" fontId="3" fillId="2" borderId="9" xfId="0" applyNumberFormat="1" applyFont="1" applyFill="1" applyBorder="1" applyAlignment="1">
      <alignment horizontal="center" vertical="center"/>
    </xf>
    <xf numFmtId="2" fontId="3" fillId="10" borderId="35" xfId="0" applyNumberFormat="1" applyFont="1" applyFill="1" applyBorder="1"/>
    <xf numFmtId="2" fontId="3" fillId="10" borderId="56" xfId="0" applyNumberFormat="1" applyFont="1" applyFill="1" applyBorder="1"/>
    <xf numFmtId="0" fontId="0" fillId="0" borderId="19" xfId="0" applyBorder="1"/>
    <xf numFmtId="0" fontId="8" fillId="0" borderId="19" xfId="0" applyFont="1" applyBorder="1" applyAlignment="1">
      <alignment vertical="top" wrapText="1"/>
    </xf>
    <xf numFmtId="2" fontId="0" fillId="4" borderId="0" xfId="0" applyNumberFormat="1" applyFill="1"/>
    <xf numFmtId="2" fontId="0" fillId="10" borderId="0" xfId="0" applyNumberFormat="1" applyFill="1"/>
    <xf numFmtId="2" fontId="0" fillId="2" borderId="0" xfId="0" applyNumberFormat="1" applyFill="1"/>
    <xf numFmtId="2" fontId="0" fillId="3" borderId="0" xfId="0" applyNumberFormat="1" applyFill="1"/>
    <xf numFmtId="2" fontId="19" fillId="11" borderId="0" xfId="0" applyNumberFormat="1" applyFont="1" applyFill="1"/>
    <xf numFmtId="2" fontId="19" fillId="12" borderId="0" xfId="0" applyNumberFormat="1" applyFont="1" applyFill="1"/>
    <xf numFmtId="2" fontId="18" fillId="7" borderId="0" xfId="0" applyNumberFormat="1" applyFont="1" applyFill="1"/>
    <xf numFmtId="2" fontId="20" fillId="4" borderId="17" xfId="0" applyNumberFormat="1" applyFont="1" applyFill="1" applyBorder="1"/>
    <xf numFmtId="2" fontId="9" fillId="4" borderId="14" xfId="0" applyNumberFormat="1" applyFont="1" applyFill="1" applyBorder="1" applyAlignment="1">
      <alignment horizontal="right" vertical="center"/>
    </xf>
    <xf numFmtId="2" fontId="9" fillId="10" borderId="14" xfId="0" applyNumberFormat="1" applyFont="1" applyFill="1" applyBorder="1" applyAlignment="1">
      <alignment horizontal="right" vertical="center"/>
    </xf>
    <xf numFmtId="2" fontId="9" fillId="2" borderId="14" xfId="0" applyNumberFormat="1" applyFont="1" applyFill="1" applyBorder="1" applyAlignment="1">
      <alignment horizontal="right" vertical="center"/>
    </xf>
    <xf numFmtId="2" fontId="9" fillId="3" borderId="14" xfId="0" applyNumberFormat="1" applyFont="1" applyFill="1" applyBorder="1" applyAlignment="1">
      <alignment horizontal="right" vertical="center"/>
    </xf>
    <xf numFmtId="2" fontId="11" fillId="11" borderId="14" xfId="0" applyNumberFormat="1" applyFont="1" applyFill="1" applyBorder="1" applyAlignment="1">
      <alignment horizontal="right" vertical="center"/>
    </xf>
    <xf numFmtId="2" fontId="11" fillId="12" borderId="14" xfId="0" applyNumberFormat="1" applyFont="1" applyFill="1" applyBorder="1" applyAlignment="1">
      <alignment horizontal="right" vertical="center"/>
    </xf>
    <xf numFmtId="2" fontId="7" fillId="7" borderId="14" xfId="0" applyNumberFormat="1" applyFont="1" applyFill="1" applyBorder="1" applyAlignment="1">
      <alignment horizontal="right" vertical="center"/>
    </xf>
    <xf numFmtId="2" fontId="3" fillId="4" borderId="15" xfId="0" applyNumberFormat="1" applyFont="1" applyFill="1" applyBorder="1" applyAlignment="1">
      <alignment horizontal="right" vertical="center"/>
    </xf>
    <xf numFmtId="2" fontId="9" fillId="4" borderId="19" xfId="0" applyNumberFormat="1" applyFont="1" applyFill="1" applyBorder="1" applyAlignment="1">
      <alignment horizontal="right" vertical="center"/>
    </xf>
    <xf numFmtId="2" fontId="9" fillId="10" borderId="19" xfId="0" applyNumberFormat="1" applyFont="1" applyFill="1" applyBorder="1" applyAlignment="1">
      <alignment horizontal="right" vertical="center"/>
    </xf>
    <xf numFmtId="2" fontId="9" fillId="2" borderId="19" xfId="0" applyNumberFormat="1" applyFont="1" applyFill="1" applyBorder="1" applyAlignment="1">
      <alignment horizontal="right" vertical="center"/>
    </xf>
    <xf numFmtId="2" fontId="9" fillId="3" borderId="19" xfId="0" applyNumberFormat="1" applyFont="1" applyFill="1" applyBorder="1" applyAlignment="1">
      <alignment horizontal="right" vertical="center"/>
    </xf>
    <xf numFmtId="2" fontId="11" fillId="11" borderId="19" xfId="0" applyNumberFormat="1" applyFont="1" applyFill="1" applyBorder="1" applyAlignment="1">
      <alignment horizontal="right" vertical="center"/>
    </xf>
    <xf numFmtId="2" fontId="11" fillId="12" borderId="19" xfId="0" applyNumberFormat="1" applyFont="1" applyFill="1" applyBorder="1" applyAlignment="1">
      <alignment horizontal="right" vertical="center"/>
    </xf>
    <xf numFmtId="2" fontId="7" fillId="7" borderId="19" xfId="0" applyNumberFormat="1" applyFont="1" applyFill="1" applyBorder="1" applyAlignment="1">
      <alignment horizontal="right" vertical="center"/>
    </xf>
    <xf numFmtId="2" fontId="3" fillId="4" borderId="57" xfId="0" applyNumberFormat="1" applyFont="1" applyFill="1" applyBorder="1" applyAlignment="1">
      <alignment horizontal="right" vertical="center"/>
    </xf>
    <xf numFmtId="2" fontId="9" fillId="4" borderId="15" xfId="0" applyNumberFormat="1" applyFont="1" applyFill="1" applyBorder="1" applyAlignment="1">
      <alignment horizontal="right" vertical="center"/>
    </xf>
    <xf numFmtId="2" fontId="0" fillId="4" borderId="17" xfId="0" applyNumberFormat="1" applyFill="1" applyBorder="1"/>
    <xf numFmtId="2" fontId="9" fillId="4" borderId="57" xfId="0" applyNumberFormat="1" applyFont="1" applyFill="1" applyBorder="1" applyAlignment="1">
      <alignment horizontal="right" vertical="center"/>
    </xf>
    <xf numFmtId="0" fontId="0" fillId="2" borderId="61" xfId="0" applyFill="1" applyBorder="1"/>
    <xf numFmtId="0" fontId="0" fillId="2" borderId="42" xfId="0" applyFill="1" applyBorder="1"/>
    <xf numFmtId="2" fontId="0" fillId="2" borderId="42" xfId="0" applyNumberFormat="1" applyFill="1" applyBorder="1"/>
    <xf numFmtId="0" fontId="0" fillId="2" borderId="62" xfId="0" applyFill="1" applyBorder="1"/>
    <xf numFmtId="0" fontId="0" fillId="2" borderId="5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2" fontId="0" fillId="2" borderId="40" xfId="0" applyNumberFormat="1" applyFill="1" applyBorder="1" applyAlignment="1">
      <alignment horizontal="center" vertical="center"/>
    </xf>
    <xf numFmtId="2" fontId="0" fillId="2" borderId="60" xfId="0" applyNumberFormat="1" applyFill="1" applyBorder="1" applyAlignment="1">
      <alignment horizontal="center" vertical="center"/>
    </xf>
    <xf numFmtId="1" fontId="11" fillId="5" borderId="9" xfId="0" applyNumberFormat="1" applyFont="1" applyFill="1" applyBorder="1" applyAlignment="1">
      <alignment horizontal="center" vertical="center"/>
    </xf>
    <xf numFmtId="1" fontId="2" fillId="2" borderId="63" xfId="0" applyNumberFormat="1" applyFont="1" applyFill="1" applyBorder="1" applyAlignment="1">
      <alignment horizontal="center" vertical="center"/>
    </xf>
    <xf numFmtId="0" fontId="17" fillId="2" borderId="43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 vertical="center"/>
    </xf>
    <xf numFmtId="0" fontId="12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1" fontId="12" fillId="0" borderId="66" xfId="0" applyNumberFormat="1" applyFont="1" applyBorder="1" applyAlignment="1">
      <alignment horizontal="center" vertical="center"/>
    </xf>
    <xf numFmtId="1" fontId="13" fillId="0" borderId="69" xfId="0" applyNumberFormat="1" applyFont="1" applyBorder="1" applyAlignment="1">
      <alignment horizontal="center" vertical="center"/>
    </xf>
    <xf numFmtId="1" fontId="16" fillId="2" borderId="70" xfId="0" applyNumberFormat="1" applyFont="1" applyFill="1" applyBorder="1" applyAlignment="1">
      <alignment horizontal="center" vertical="center"/>
    </xf>
    <xf numFmtId="0" fontId="12" fillId="7" borderId="72" xfId="0" applyFont="1" applyFill="1" applyBorder="1" applyAlignment="1">
      <alignment vertical="center"/>
    </xf>
    <xf numFmtId="0" fontId="12" fillId="2" borderId="65" xfId="0" applyFont="1" applyFill="1" applyBorder="1" applyAlignment="1">
      <alignment vertical="center"/>
    </xf>
    <xf numFmtId="1" fontId="12" fillId="2" borderId="73" xfId="0" applyNumberFormat="1" applyFont="1" applyFill="1" applyBorder="1" applyAlignment="1">
      <alignment horizontal="center" vertical="center"/>
    </xf>
    <xf numFmtId="0" fontId="13" fillId="2" borderId="71" xfId="0" applyFont="1" applyFill="1" applyBorder="1" applyAlignment="1">
      <alignment vertical="center"/>
    </xf>
    <xf numFmtId="1" fontId="13" fillId="2" borderId="71" xfId="0" applyNumberFormat="1" applyFont="1" applyFill="1" applyBorder="1" applyAlignment="1">
      <alignment horizontal="center"/>
    </xf>
    <xf numFmtId="1" fontId="13" fillId="0" borderId="67" xfId="0" applyNumberFormat="1" applyFont="1" applyBorder="1" applyAlignment="1" applyProtection="1">
      <alignment horizontal="center" vertical="center"/>
      <protection locked="0"/>
    </xf>
    <xf numFmtId="1" fontId="12" fillId="0" borderId="65" xfId="0" applyNumberFormat="1" applyFont="1" applyBorder="1" applyAlignment="1" applyProtection="1">
      <alignment horizontal="center" vertical="center"/>
      <protection locked="0"/>
    </xf>
    <xf numFmtId="1" fontId="13" fillId="0" borderId="68" xfId="0" applyNumberFormat="1" applyFont="1" applyBorder="1" applyAlignment="1" applyProtection="1">
      <alignment horizontal="center" vertical="center"/>
      <protection locked="0"/>
    </xf>
    <xf numFmtId="1" fontId="16" fillId="0" borderId="52" xfId="0" applyNumberFormat="1" applyFont="1" applyBorder="1" applyAlignment="1" applyProtection="1">
      <alignment horizontal="center" vertical="center"/>
      <protection locked="0"/>
    </xf>
    <xf numFmtId="2" fontId="9" fillId="0" borderId="9" xfId="0" applyNumberFormat="1" applyFont="1" applyBorder="1" applyAlignment="1" applyProtection="1">
      <alignment horizontal="center" vertical="center"/>
      <protection locked="0"/>
    </xf>
    <xf numFmtId="1" fontId="9" fillId="0" borderId="49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1" fontId="3" fillId="6" borderId="9" xfId="0" applyNumberFormat="1" applyFont="1" applyFill="1" applyBorder="1" applyAlignment="1" applyProtection="1">
      <alignment horizontal="center" vertical="center"/>
      <protection locked="0"/>
    </xf>
    <xf numFmtId="0" fontId="13" fillId="8" borderId="74" xfId="0" applyFont="1" applyFill="1" applyBorder="1" applyAlignment="1">
      <alignment vertical="center"/>
    </xf>
    <xf numFmtId="0" fontId="13" fillId="0" borderId="22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2" fontId="2" fillId="2" borderId="63" xfId="0" applyNumberFormat="1" applyFont="1" applyFill="1" applyBorder="1"/>
    <xf numFmtId="2" fontId="2" fillId="2" borderId="64" xfId="0" applyNumberFormat="1" applyFont="1" applyFill="1" applyBorder="1"/>
    <xf numFmtId="2" fontId="2" fillId="2" borderId="76" xfId="0" applyNumberFormat="1" applyFont="1" applyFill="1" applyBorder="1"/>
    <xf numFmtId="1" fontId="2" fillId="2" borderId="77" xfId="0" applyNumberFormat="1" applyFont="1" applyFill="1" applyBorder="1" applyAlignment="1">
      <alignment horizontal="center" vertical="center"/>
    </xf>
    <xf numFmtId="2" fontId="11" fillId="5" borderId="77" xfId="0" applyNumberFormat="1" applyFont="1" applyFill="1" applyBorder="1" applyAlignment="1">
      <alignment horizontal="center" vertical="center"/>
    </xf>
    <xf numFmtId="2" fontId="9" fillId="0" borderId="78" xfId="0" applyNumberFormat="1" applyFont="1" applyBorder="1" applyAlignment="1" applyProtection="1">
      <alignment horizontal="center" vertical="center"/>
      <protection locked="0"/>
    </xf>
    <xf numFmtId="2" fontId="11" fillId="5" borderId="78" xfId="0" applyNumberFormat="1" applyFont="1" applyFill="1" applyBorder="1" applyAlignment="1">
      <alignment horizontal="center" vertical="center"/>
    </xf>
    <xf numFmtId="1" fontId="9" fillId="0" borderId="79" xfId="0" applyNumberFormat="1" applyFont="1" applyBorder="1" applyAlignment="1" applyProtection="1">
      <alignment horizontal="center" vertical="center"/>
      <protection locked="0"/>
    </xf>
    <xf numFmtId="1" fontId="3" fillId="0" borderId="78" xfId="0" applyNumberFormat="1" applyFont="1" applyBorder="1" applyAlignment="1" applyProtection="1">
      <alignment horizontal="center" vertical="center"/>
      <protection locked="0"/>
    </xf>
    <xf numFmtId="1" fontId="11" fillId="5" borderId="78" xfId="0" applyNumberFormat="1" applyFont="1" applyFill="1" applyBorder="1" applyAlignment="1">
      <alignment horizontal="center" vertical="center"/>
    </xf>
    <xf numFmtId="2" fontId="3" fillId="0" borderId="80" xfId="0" applyNumberFormat="1" applyFont="1" applyBorder="1" applyAlignment="1">
      <alignment horizontal="center" vertical="center"/>
    </xf>
    <xf numFmtId="2" fontId="3" fillId="0" borderId="78" xfId="0" applyNumberFormat="1" applyFont="1" applyBorder="1" applyAlignment="1">
      <alignment horizontal="center" vertical="center"/>
    </xf>
    <xf numFmtId="2" fontId="11" fillId="5" borderId="80" xfId="0" applyNumberFormat="1" applyFont="1" applyFill="1" applyBorder="1" applyAlignment="1">
      <alignment horizontal="center" vertical="center"/>
    </xf>
    <xf numFmtId="2" fontId="11" fillId="5" borderId="81" xfId="0" applyNumberFormat="1" applyFont="1" applyFill="1" applyBorder="1" applyAlignment="1">
      <alignment horizontal="center" vertical="center"/>
    </xf>
    <xf numFmtId="2" fontId="3" fillId="2" borderId="78" xfId="0" applyNumberFormat="1" applyFont="1" applyFill="1" applyBorder="1" applyAlignment="1">
      <alignment horizontal="center" vertical="center"/>
    </xf>
    <xf numFmtId="1" fontId="3" fillId="0" borderId="80" xfId="0" applyNumberFormat="1" applyFont="1" applyBorder="1" applyAlignment="1" applyProtection="1">
      <alignment horizontal="center" vertical="center"/>
      <protection locked="0"/>
    </xf>
    <xf numFmtId="1" fontId="11" fillId="5" borderId="33" xfId="0" applyNumberFormat="1" applyFont="1" applyFill="1" applyBorder="1" applyAlignment="1">
      <alignment horizontal="center" vertical="center"/>
    </xf>
    <xf numFmtId="1" fontId="2" fillId="2" borderId="46" xfId="0" applyNumberFormat="1" applyFont="1" applyFill="1" applyBorder="1" applyAlignment="1">
      <alignment horizontal="center" vertical="center"/>
    </xf>
    <xf numFmtId="1" fontId="2" fillId="2" borderId="44" xfId="0" applyNumberFormat="1" applyFont="1" applyFill="1" applyBorder="1" applyAlignment="1">
      <alignment horizontal="center" vertical="center"/>
    </xf>
    <xf numFmtId="2" fontId="11" fillId="5" borderId="46" xfId="0" applyNumberFormat="1" applyFont="1" applyFill="1" applyBorder="1" applyAlignment="1">
      <alignment horizontal="center" vertical="center"/>
    </xf>
    <xf numFmtId="2" fontId="11" fillId="5" borderId="44" xfId="0" applyNumberFormat="1" applyFont="1" applyFill="1" applyBorder="1" applyAlignment="1">
      <alignment horizontal="center" vertical="center"/>
    </xf>
    <xf numFmtId="2" fontId="9" fillId="0" borderId="4" xfId="0" applyNumberFormat="1" applyFont="1" applyBorder="1" applyAlignment="1" applyProtection="1">
      <alignment horizontal="center" vertical="center"/>
      <protection locked="0"/>
    </xf>
    <xf numFmtId="2" fontId="9" fillId="0" borderId="29" xfId="0" applyNumberFormat="1" applyFont="1" applyBorder="1" applyAlignment="1" applyProtection="1">
      <alignment horizontal="center" vertical="center"/>
      <protection locked="0"/>
    </xf>
    <xf numFmtId="2" fontId="11" fillId="5" borderId="4" xfId="0" applyNumberFormat="1" applyFont="1" applyFill="1" applyBorder="1" applyAlignment="1">
      <alignment horizontal="center" vertical="center"/>
    </xf>
    <xf numFmtId="2" fontId="11" fillId="5" borderId="29" xfId="0" applyNumberFormat="1" applyFont="1" applyFill="1" applyBorder="1" applyAlignment="1">
      <alignment horizontal="center" vertical="center"/>
    </xf>
    <xf numFmtId="1" fontId="9" fillId="0" borderId="84" xfId="0" applyNumberFormat="1" applyFont="1" applyBorder="1" applyAlignment="1" applyProtection="1">
      <alignment horizontal="center" vertical="center"/>
      <protection locked="0"/>
    </xf>
    <xf numFmtId="1" fontId="9" fillId="0" borderId="85" xfId="0" applyNumberFormat="1" applyFont="1" applyBorder="1" applyAlignment="1" applyProtection="1">
      <alignment horizontal="center" vertical="center"/>
      <protection locked="0"/>
    </xf>
    <xf numFmtId="1" fontId="3" fillId="0" borderId="4" xfId="0" applyNumberFormat="1" applyFont="1" applyBorder="1" applyAlignment="1" applyProtection="1">
      <alignment horizontal="center" vertical="center"/>
      <protection locked="0"/>
    </xf>
    <xf numFmtId="1" fontId="3" fillId="0" borderId="29" xfId="0" applyNumberFormat="1" applyFont="1" applyBorder="1" applyAlignment="1" applyProtection="1">
      <alignment horizontal="center" vertical="center"/>
      <protection locked="0"/>
    </xf>
    <xf numFmtId="1" fontId="11" fillId="5" borderId="4" xfId="0" applyNumberFormat="1" applyFont="1" applyFill="1" applyBorder="1" applyAlignment="1">
      <alignment horizontal="center" vertical="center"/>
    </xf>
    <xf numFmtId="1" fontId="11" fillId="5" borderId="29" xfId="0" applyNumberFormat="1" applyFont="1" applyFill="1" applyBorder="1" applyAlignment="1">
      <alignment horizontal="center" vertical="center"/>
    </xf>
    <xf numFmtId="2" fontId="3" fillId="0" borderId="86" xfId="0" applyNumberFormat="1" applyFont="1" applyBorder="1" applyAlignment="1">
      <alignment horizontal="center" vertical="center"/>
    </xf>
    <xf numFmtId="2" fontId="3" fillId="0" borderId="87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2" fontId="11" fillId="5" borderId="86" xfId="0" applyNumberFormat="1" applyFont="1" applyFill="1" applyBorder="1" applyAlignment="1">
      <alignment horizontal="center" vertical="center"/>
    </xf>
    <xf numFmtId="2" fontId="11" fillId="5" borderId="87" xfId="0" applyNumberFormat="1" applyFont="1" applyFill="1" applyBorder="1" applyAlignment="1">
      <alignment horizontal="center" vertical="center"/>
    </xf>
    <xf numFmtId="2" fontId="11" fillId="5" borderId="47" xfId="0" applyNumberFormat="1" applyFont="1" applyFill="1" applyBorder="1" applyAlignment="1">
      <alignment horizontal="center" vertical="center"/>
    </xf>
    <xf numFmtId="2" fontId="11" fillId="5" borderId="45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29" xfId="0" applyNumberFormat="1" applyFont="1" applyFill="1" applyBorder="1" applyAlignment="1">
      <alignment horizontal="center" vertical="center"/>
    </xf>
    <xf numFmtId="1" fontId="3" fillId="6" borderId="29" xfId="0" applyNumberFormat="1" applyFont="1" applyFill="1" applyBorder="1" applyAlignment="1" applyProtection="1">
      <alignment horizontal="center" vertical="center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2" fontId="11" fillId="5" borderId="88" xfId="0" applyNumberFormat="1" applyFont="1" applyFill="1" applyBorder="1" applyAlignment="1">
      <alignment horizontal="center" vertical="center"/>
    </xf>
    <xf numFmtId="2" fontId="11" fillId="5" borderId="89" xfId="0" applyNumberFormat="1" applyFont="1" applyFill="1" applyBorder="1" applyAlignment="1">
      <alignment horizontal="center" vertical="center"/>
    </xf>
    <xf numFmtId="0" fontId="13" fillId="2" borderId="42" xfId="0" applyFont="1" applyFill="1" applyBorder="1"/>
    <xf numFmtId="164" fontId="2" fillId="2" borderId="90" xfId="0" applyNumberFormat="1" applyFont="1" applyFill="1" applyBorder="1"/>
    <xf numFmtId="2" fontId="11" fillId="5" borderId="91" xfId="0" applyNumberFormat="1" applyFont="1" applyFill="1" applyBorder="1" applyAlignment="1">
      <alignment horizontal="center" vertical="center"/>
    </xf>
    <xf numFmtId="2" fontId="11" fillId="5" borderId="19" xfId="0" applyNumberFormat="1" applyFont="1" applyFill="1" applyBorder="1" applyAlignment="1">
      <alignment horizontal="center" vertical="center"/>
    </xf>
    <xf numFmtId="2" fontId="11" fillId="5" borderId="92" xfId="0" applyNumberFormat="1" applyFont="1" applyFill="1" applyBorder="1" applyAlignment="1">
      <alignment horizontal="center" vertical="center"/>
    </xf>
    <xf numFmtId="0" fontId="15" fillId="2" borderId="90" xfId="0" applyFont="1" applyFill="1" applyBorder="1"/>
    <xf numFmtId="0" fontId="16" fillId="2" borderId="42" xfId="0" applyFont="1" applyFill="1" applyBorder="1"/>
    <xf numFmtId="0" fontId="14" fillId="2" borderId="90" xfId="0" applyFont="1" applyFill="1" applyBorder="1"/>
    <xf numFmtId="1" fontId="2" fillId="2" borderId="82" xfId="0" applyNumberFormat="1" applyFont="1" applyFill="1" applyBorder="1" applyAlignment="1">
      <alignment horizontal="center" vertical="center"/>
    </xf>
    <xf numFmtId="1" fontId="2" fillId="2" borderId="64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 applyProtection="1">
      <alignment horizontal="center" vertical="center"/>
      <protection locked="0"/>
    </xf>
    <xf numFmtId="2" fontId="11" fillId="5" borderId="0" xfId="0" applyNumberFormat="1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" fontId="9" fillId="0" borderId="93" xfId="0" applyNumberFormat="1" applyFont="1" applyBorder="1" applyAlignment="1" applyProtection="1">
      <alignment horizontal="center" vertical="center"/>
      <protection locked="0"/>
    </xf>
    <xf numFmtId="1" fontId="3" fillId="0" borderId="0" xfId="0" applyNumberFormat="1" applyFont="1" applyAlignment="1" applyProtection="1">
      <alignment horizontal="center" vertical="center"/>
      <protection locked="0"/>
    </xf>
    <xf numFmtId="1" fontId="11" fillId="5" borderId="0" xfId="0" applyNumberFormat="1" applyFont="1" applyFill="1" applyAlignment="1">
      <alignment horizontal="center" vertical="center"/>
    </xf>
    <xf numFmtId="2" fontId="0" fillId="2" borderId="94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0" fillId="2" borderId="95" xfId="0" applyFill="1" applyBorder="1" applyAlignment="1">
      <alignment horizontal="center" vertical="center"/>
    </xf>
    <xf numFmtId="0" fontId="24" fillId="0" borderId="98" xfId="0" applyFont="1" applyBorder="1" applyAlignment="1">
      <alignment horizontal="left"/>
    </xf>
    <xf numFmtId="0" fontId="24" fillId="0" borderId="18" xfId="0" applyFont="1" applyBorder="1" applyAlignment="1">
      <alignment horizontal="left" vertical="center"/>
    </xf>
    <xf numFmtId="0" fontId="24" fillId="0" borderId="57" xfId="0" applyFont="1" applyBorder="1" applyAlignment="1">
      <alignment horizontal="left" vertical="center"/>
    </xf>
    <xf numFmtId="0" fontId="22" fillId="2" borderId="35" xfId="0" applyFont="1" applyFill="1" applyBorder="1" applyAlignment="1">
      <alignment horizontal="left"/>
    </xf>
    <xf numFmtId="0" fontId="22" fillId="2" borderId="36" xfId="0" applyFont="1" applyFill="1" applyBorder="1" applyAlignment="1">
      <alignment horizontal="left"/>
    </xf>
    <xf numFmtId="165" fontId="2" fillId="0" borderId="75" xfId="0" applyNumberFormat="1" applyFont="1" applyBorder="1" applyAlignment="1" applyProtection="1">
      <alignment horizontal="center"/>
      <protection locked="0"/>
    </xf>
    <xf numFmtId="165" fontId="2" fillId="0" borderId="30" xfId="0" applyNumberFormat="1" applyFont="1" applyBorder="1" applyAlignment="1" applyProtection="1">
      <alignment horizontal="center"/>
      <protection locked="0"/>
    </xf>
    <xf numFmtId="0" fontId="24" fillId="0" borderId="13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0" fontId="24" fillId="0" borderId="96" xfId="0" applyFont="1" applyBorder="1" applyAlignment="1">
      <alignment horizontal="left"/>
    </xf>
    <xf numFmtId="0" fontId="24" fillId="0" borderId="97" xfId="0" applyFont="1" applyBorder="1" applyAlignment="1">
      <alignment horizontal="left"/>
    </xf>
    <xf numFmtId="0" fontId="26" fillId="0" borderId="99" xfId="2" applyFont="1" applyBorder="1" applyAlignment="1">
      <alignment horizontal="center"/>
    </xf>
    <xf numFmtId="0" fontId="26" fillId="0" borderId="100" xfId="2" applyFont="1" applyBorder="1" applyAlignment="1">
      <alignment horizontal="center"/>
    </xf>
    <xf numFmtId="0" fontId="26" fillId="0" borderId="101" xfId="2" applyFont="1" applyBorder="1" applyAlignment="1">
      <alignment horizontal="center"/>
    </xf>
    <xf numFmtId="0" fontId="22" fillId="13" borderId="13" xfId="0" applyFont="1" applyFill="1" applyBorder="1" applyAlignment="1">
      <alignment horizontal="center" vertical="center" wrapText="1"/>
    </xf>
    <xf numFmtId="0" fontId="22" fillId="13" borderId="14" xfId="0" applyFont="1" applyFill="1" applyBorder="1" applyAlignment="1">
      <alignment horizontal="center" vertical="center" wrapText="1"/>
    </xf>
    <xf numFmtId="0" fontId="22" fillId="13" borderId="15" xfId="0" applyFont="1" applyFill="1" applyBorder="1" applyAlignment="1">
      <alignment horizontal="center" vertical="center" wrapText="1"/>
    </xf>
    <xf numFmtId="0" fontId="22" fillId="13" borderId="16" xfId="0" applyFont="1" applyFill="1" applyBorder="1" applyAlignment="1">
      <alignment horizontal="center" vertical="center" wrapText="1"/>
    </xf>
    <xf numFmtId="0" fontId="22" fillId="13" borderId="0" xfId="0" applyFont="1" applyFill="1" applyAlignment="1">
      <alignment horizontal="center" vertical="center" wrapText="1"/>
    </xf>
    <xf numFmtId="0" fontId="22" fillId="13" borderId="17" xfId="0" applyFont="1" applyFill="1" applyBorder="1" applyAlignment="1">
      <alignment horizontal="center" vertical="center" wrapText="1"/>
    </xf>
    <xf numFmtId="0" fontId="22" fillId="13" borderId="18" xfId="0" applyFont="1" applyFill="1" applyBorder="1" applyAlignment="1">
      <alignment horizontal="center" vertical="center" wrapText="1"/>
    </xf>
    <xf numFmtId="0" fontId="22" fillId="13" borderId="19" xfId="0" applyFont="1" applyFill="1" applyBorder="1" applyAlignment="1">
      <alignment horizontal="center" vertical="center" wrapText="1"/>
    </xf>
    <xf numFmtId="0" fontId="22" fillId="13" borderId="57" xfId="0" applyFont="1" applyFill="1" applyBorder="1" applyAlignment="1">
      <alignment horizontal="center" vertical="center" wrapText="1"/>
    </xf>
    <xf numFmtId="2" fontId="2" fillId="2" borderId="82" xfId="0" applyNumberFormat="1" applyFont="1" applyFill="1" applyBorder="1" applyAlignment="1">
      <alignment horizontal="center"/>
    </xf>
    <xf numFmtId="2" fontId="2" fillId="2" borderId="63" xfId="0" applyNumberFormat="1" applyFont="1" applyFill="1" applyBorder="1" applyAlignment="1">
      <alignment horizontal="center"/>
    </xf>
    <xf numFmtId="2" fontId="2" fillId="2" borderId="83" xfId="0" applyNumberFormat="1" applyFont="1" applyFill="1" applyBorder="1" applyAlignment="1">
      <alignment horizontal="center"/>
    </xf>
    <xf numFmtId="2" fontId="2" fillId="2" borderId="37" xfId="0" applyNumberFormat="1" applyFont="1" applyFill="1" applyBorder="1" applyAlignment="1">
      <alignment horizontal="center" vertical="center"/>
    </xf>
    <xf numFmtId="2" fontId="2" fillId="2" borderId="27" xfId="0" applyNumberFormat="1" applyFont="1" applyFill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/>
    </xf>
    <xf numFmtId="2" fontId="3" fillId="2" borderId="20" xfId="0" applyNumberFormat="1" applyFont="1" applyFill="1" applyBorder="1" applyAlignment="1">
      <alignment horizontal="left" vertical="center"/>
    </xf>
    <xf numFmtId="2" fontId="3" fillId="2" borderId="36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2" fontId="3" fillId="2" borderId="6" xfId="0" applyNumberFormat="1" applyFont="1" applyFill="1" applyBorder="1" applyAlignment="1">
      <alignment horizontal="left" vertical="center"/>
    </xf>
    <xf numFmtId="2" fontId="3" fillId="2" borderId="7" xfId="0" applyNumberFormat="1" applyFont="1" applyFill="1" applyBorder="1" applyAlignment="1">
      <alignment horizontal="left" vertical="center"/>
    </xf>
    <xf numFmtId="2" fontId="3" fillId="2" borderId="0" xfId="0" applyNumberFormat="1" applyFont="1" applyFill="1" applyAlignment="1">
      <alignment horizontal="left" vertical="center"/>
    </xf>
    <xf numFmtId="2" fontId="3" fillId="2" borderId="9" xfId="0" applyNumberFormat="1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0" borderId="22" xfId="0" applyFont="1" applyBorder="1" applyAlignment="1" applyProtection="1">
      <alignment horizontal="center" vertical="center"/>
      <protection locked="0"/>
    </xf>
    <xf numFmtId="164" fontId="2" fillId="0" borderId="22" xfId="0" applyNumberFormat="1" applyFont="1" applyBorder="1" applyAlignment="1" applyProtection="1">
      <alignment horizontal="center" vertical="center"/>
      <protection locked="0"/>
    </xf>
    <xf numFmtId="165" fontId="2" fillId="0" borderId="1" xfId="0" applyNumberFormat="1" applyFont="1" applyBorder="1" applyAlignment="1" applyProtection="1">
      <alignment horizontal="center"/>
      <protection locked="0"/>
    </xf>
    <xf numFmtId="165" fontId="2" fillId="0" borderId="22" xfId="0" applyNumberFormat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</cellXfs>
  <cellStyles count="3">
    <cellStyle name="Hyperlink" xfId="2" builtinId="8"/>
    <cellStyle name="Normal" xfId="0" builtinId="0"/>
    <cellStyle name="Percent" xfId="1" builtinId="5"/>
  </cellStyles>
  <dxfs count="7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theme="1"/>
      </font>
      <fill>
        <patternFill patternType="solid"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fgColor rgb="FF92D050"/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 patternType="solid"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fgColor rgb="FF92D050"/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Reactive power - Voltage window at connection point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4.2532658141671759E-2"/>
          <c:y val="6.3551199045104353E-2"/>
          <c:w val="0.90394862538193854"/>
          <c:h val="0.76258848899174914"/>
        </c:manualLayout>
      </c:layout>
      <c:scatterChart>
        <c:scatterStyle val="lineMarker"/>
        <c:varyColors val="0"/>
        <c:ser>
          <c:idx val="2"/>
          <c:order val="0"/>
          <c:tx>
            <c:strRef>
              <c:f>'LF minimum input'!$I$50:$P$50</c:f>
              <c:strCache>
                <c:ptCount val="8"/>
                <c:pt idx="0">
                  <c:v>Grid code Q-U window at connection point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'LF minimum input'!$I$54:$P$54</c:f>
              <c:numCache>
                <c:formatCode>0.000</c:formatCode>
                <c:ptCount val="8"/>
                <c:pt idx="0">
                  <c:v>2.0026000000000002</c:v>
                </c:pt>
                <c:pt idx="1">
                  <c:v>3.3042899999999999</c:v>
                </c:pt>
                <c:pt idx="2">
                  <c:v>3.3042899999999999</c:v>
                </c:pt>
                <c:pt idx="3">
                  <c:v>0</c:v>
                </c:pt>
                <c:pt idx="4">
                  <c:v>-3.3042899999999999</c:v>
                </c:pt>
                <c:pt idx="5">
                  <c:v>-3.3042899999999999</c:v>
                </c:pt>
                <c:pt idx="6">
                  <c:v>0</c:v>
                </c:pt>
                <c:pt idx="7">
                  <c:v>2.0026000000000002</c:v>
                </c:pt>
              </c:numCache>
            </c:numRef>
          </c:xVal>
          <c:yVal>
            <c:numRef>
              <c:f>'LF minimum input'!$I$51:$P$51</c:f>
              <c:numCache>
                <c:formatCode>0.00</c:formatCode>
                <c:ptCount val="8"/>
                <c:pt idx="0">
                  <c:v>0.9</c:v>
                </c:pt>
                <c:pt idx="1">
                  <c:v>0.95</c:v>
                </c:pt>
                <c:pt idx="2">
                  <c:v>1.05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0.95</c:v>
                </c:pt>
                <c:pt idx="6">
                  <c:v>0.9</c:v>
                </c:pt>
                <c:pt idx="7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22-428B-9DD7-AB044E84C194}"/>
            </c:ext>
          </c:extLst>
        </c:ser>
        <c:ser>
          <c:idx val="5"/>
          <c:order val="1"/>
          <c:tx>
            <c:strRef>
              <c:f>'Q-U and Q-P windows park'!$A$39:$I$39</c:f>
              <c:strCache>
                <c:ptCount val="9"/>
                <c:pt idx="0">
                  <c:v>Load flow cases 6-12: Voltage-Reactive power. Red window needs to cover blue window completely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star"/>
              <c:size val="15"/>
              <c:spPr>
                <a:solidFill>
                  <a:srgbClr val="FF0000"/>
                </a:solidFill>
                <a:ln w="38100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3291-4D99-9F51-0244B0F745A9}"/>
              </c:ext>
            </c:extLst>
          </c:dPt>
          <c:dPt>
            <c:idx val="1"/>
            <c:marker>
              <c:symbol val="star"/>
              <c:size val="15"/>
              <c:spPr>
                <a:solidFill>
                  <a:srgbClr val="FFC000"/>
                </a:solidFill>
                <a:ln w="38100">
                  <a:solidFill>
                    <a:srgbClr val="FFC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CDA-448C-B5C2-A848886AFE80}"/>
              </c:ext>
            </c:extLst>
          </c:dPt>
          <c:dPt>
            <c:idx val="2"/>
            <c:marker>
              <c:symbol val="star"/>
              <c:size val="15"/>
              <c:spPr>
                <a:solidFill>
                  <a:srgbClr val="FFFF00"/>
                </a:solidFill>
                <a:ln w="38100">
                  <a:solidFill>
                    <a:srgbClr val="FFFF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ACDA-448C-B5C2-A848886AFE80}"/>
              </c:ext>
            </c:extLst>
          </c:dPt>
          <c:dPt>
            <c:idx val="3"/>
            <c:marker>
              <c:symbol val="star"/>
              <c:size val="15"/>
              <c:spPr>
                <a:solidFill>
                  <a:srgbClr val="92D050"/>
                </a:solidFill>
                <a:ln w="38100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ACDA-448C-B5C2-A848886AFE80}"/>
              </c:ext>
            </c:extLst>
          </c:dPt>
          <c:dPt>
            <c:idx val="4"/>
            <c:marker>
              <c:symbol val="star"/>
              <c:size val="15"/>
              <c:spPr>
                <a:solidFill>
                  <a:sysClr val="windowText" lastClr="000000"/>
                </a:solidFill>
                <a:ln w="38100">
                  <a:solidFill>
                    <a:srgbClr val="00206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ACDA-448C-B5C2-A848886AFE80}"/>
              </c:ext>
            </c:extLst>
          </c:dPt>
          <c:dPt>
            <c:idx val="5"/>
            <c:marker>
              <c:symbol val="star"/>
              <c:size val="15"/>
              <c:spPr>
                <a:solidFill>
                  <a:srgbClr val="7030A0"/>
                </a:solidFill>
                <a:ln w="38100">
                  <a:solidFill>
                    <a:srgbClr val="7030A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ACDA-448C-B5C2-A848886AFE80}"/>
              </c:ext>
            </c:extLst>
          </c:dPt>
          <c:dPt>
            <c:idx val="6"/>
            <c:marker>
              <c:symbol val="star"/>
              <c:size val="15"/>
              <c:spPr>
                <a:solidFill>
                  <a:srgbClr val="C00000"/>
                </a:solidFill>
                <a:ln w="38100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ACDA-448C-B5C2-A848886AFE80}"/>
              </c:ext>
            </c:extLst>
          </c:dPt>
          <c:xVal>
            <c:numRef>
              <c:f>'Q-U and Q-P windows park'!$B$42:$I$42</c:f>
              <c:numCache>
                <c:formatCode>0.00</c:formatCode>
                <c:ptCount val="8"/>
                <c:pt idx="0">
                  <c:v>-3.34</c:v>
                </c:pt>
                <c:pt idx="1">
                  <c:v>2E-3</c:v>
                </c:pt>
                <c:pt idx="2">
                  <c:v>3.32</c:v>
                </c:pt>
                <c:pt idx="3">
                  <c:v>3.3079999999999998</c:v>
                </c:pt>
                <c:pt idx="4">
                  <c:v>2.5</c:v>
                </c:pt>
                <c:pt idx="5">
                  <c:v>0</c:v>
                </c:pt>
                <c:pt idx="6">
                  <c:v>-3.31</c:v>
                </c:pt>
                <c:pt idx="7">
                  <c:v>-3.34</c:v>
                </c:pt>
              </c:numCache>
            </c:numRef>
          </c:xVal>
          <c:yVal>
            <c:numRef>
              <c:f>'Q-U and Q-P windows park'!$B$40:$I$40</c:f>
              <c:numCache>
                <c:formatCode>0.00</c:formatCode>
                <c:ptCount val="8"/>
                <c:pt idx="0">
                  <c:v>1.1000000000000001</c:v>
                </c:pt>
                <c:pt idx="1">
                  <c:v>1.1000000000000001</c:v>
                </c:pt>
                <c:pt idx="2">
                  <c:v>1.05</c:v>
                </c:pt>
                <c:pt idx="3">
                  <c:v>0.95</c:v>
                </c:pt>
                <c:pt idx="4">
                  <c:v>0.9</c:v>
                </c:pt>
                <c:pt idx="5">
                  <c:v>0.9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22-428B-9DD7-AB044E84C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9330696"/>
        <c:axId val="589331088"/>
        <c:extLst/>
      </c:scatterChart>
      <c:valAx>
        <c:axId val="589330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Reactive power (Mvar)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89331088"/>
        <c:crosses val="autoZero"/>
        <c:crossBetween val="midCat"/>
      </c:valAx>
      <c:valAx>
        <c:axId val="589331088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Voltage connection point (per unit)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89330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8062418875831E-3"/>
          <c:y val="0.91965290948718259"/>
          <c:w val="0.97516088861849659"/>
          <c:h val="8.034709051281736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400"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Reactive power - Active power window</a:t>
            </a:r>
          </a:p>
        </c:rich>
      </c:tx>
      <c:layout>
        <c:manualLayout>
          <c:xMode val="edge"/>
          <c:yMode val="edge"/>
          <c:x val="0.156889038348270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4.2532658141671759E-2"/>
          <c:y val="6.263613680875213E-2"/>
          <c:w val="0.90088627644502461"/>
          <c:h val="0.73755509245448703"/>
        </c:manualLayout>
      </c:layout>
      <c:scatterChart>
        <c:scatterStyle val="lineMarker"/>
        <c:varyColors val="0"/>
        <c:ser>
          <c:idx val="2"/>
          <c:order val="0"/>
          <c:tx>
            <c:strRef>
              <c:f>'LF minimum input'!$I$56:$O$56</c:f>
              <c:strCache>
                <c:ptCount val="7"/>
                <c:pt idx="0">
                  <c:v>Grid code Q-P window at connection point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4.5810184816694709E-3"/>
                  <c:y val="-6.2368514876088119E-2"/>
                </c:manualLayout>
              </c:layout>
              <c:tx>
                <c:rich>
                  <a:bodyPr/>
                  <a:lstStyle/>
                  <a:p>
                    <a:fld id="{FD4254EC-FEE4-4900-B73D-A28F2B0A842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 </a:t>
                    </a:r>
                    <a:fld id="{33BB9656-54FC-490A-8FFD-708FE1C9FB90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46397586717394418"/>
                      <c:h val="5.156797792160319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7F8-4CC6-8F41-1E4BA0FC184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nl-N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FF9-4822-B7B2-4EC97F5634E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nl-N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FF9-4822-B7B2-4EC97F5634E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nl-N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FF9-4822-B7B2-4EC97F5634E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nl-N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FF9-4822-B7B2-4EC97F5634E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nl-N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FF9-4822-B7B2-4EC97F5634E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nl-N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FF9-4822-B7B2-4EC97F5634ED}"/>
                </c:ext>
              </c:extLst>
            </c:dLbl>
            <c:spPr>
              <a:noFill/>
              <a:ln>
                <a:solidFill>
                  <a:srgbClr val="00B0F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'LF minimum input'!$I$59:$O$59</c:f>
              <c:numCache>
                <c:formatCode>0.000</c:formatCode>
                <c:ptCount val="7"/>
                <c:pt idx="0">
                  <c:v>0</c:v>
                </c:pt>
                <c:pt idx="1">
                  <c:v>3.3042899999999999</c:v>
                </c:pt>
                <c:pt idx="2">
                  <c:v>3.3042899999999999</c:v>
                </c:pt>
                <c:pt idx="3">
                  <c:v>0</c:v>
                </c:pt>
                <c:pt idx="4">
                  <c:v>-3.3042899999999999</c:v>
                </c:pt>
                <c:pt idx="5">
                  <c:v>-3.3042899999999999</c:v>
                </c:pt>
                <c:pt idx="6">
                  <c:v>0</c:v>
                </c:pt>
              </c:numCache>
            </c:numRef>
          </c:xVal>
          <c:yVal>
            <c:numRef>
              <c:f>'LF minimum input'!$I$57:$O$57</c:f>
              <c:numCache>
                <c:formatCode>0.000</c:formatCode>
                <c:ptCount val="7"/>
                <c:pt idx="0">
                  <c:v>10.013</c:v>
                </c:pt>
                <c:pt idx="1">
                  <c:v>9.3120899999999995</c:v>
                </c:pt>
                <c:pt idx="2">
                  <c:v>2.0026000000000002</c:v>
                </c:pt>
                <c:pt idx="3">
                  <c:v>0</c:v>
                </c:pt>
                <c:pt idx="4">
                  <c:v>2.0026000000000002</c:v>
                </c:pt>
                <c:pt idx="5">
                  <c:v>9.3120899999999995</c:v>
                </c:pt>
                <c:pt idx="6">
                  <c:v>10.013</c:v>
                </c:pt>
              </c:numCache>
            </c:numRef>
          </c:yVal>
          <c:smooth val="0"/>
          <c:extLst xmlns:c15="http://schemas.microsoft.com/office/drawing/2012/chart">
            <c:ext xmlns:c15="http://schemas.microsoft.com/office/drawing/2012/chart" uri="{02D57815-91ED-43cb-92C2-25804820EDAC}">
              <c15:datalabelsRange>
                <c15:f>'LF minimum input'!$H$52</c15:f>
                <c15:dlblRangeCache>
                  <c:ptCount val="1"/>
                  <c:pt idx="0">
                    <c:v>Pmax (MW) at Qc=0: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B7F8-4CC6-8F41-1E4BA0FC184F}"/>
            </c:ext>
          </c:extLst>
        </c:ser>
        <c:ser>
          <c:idx val="5"/>
          <c:order val="1"/>
          <c:tx>
            <c:strRef>
              <c:f>'Q-U and Q-P windows park'!$P$39:$W$39</c:f>
              <c:strCache>
                <c:ptCount val="8"/>
                <c:pt idx="0">
                  <c:v>Load Flow cases 0-5: Reactive - Active power. Red window needs to cover blue window completely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1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0"/>
            <c:marker>
              <c:symbol val="square"/>
              <c:size val="15"/>
              <c:spPr>
                <a:solidFill>
                  <a:srgbClr val="FF0000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202D-43CB-B0E1-BEA923DE7806}"/>
              </c:ext>
            </c:extLst>
          </c:dPt>
          <c:dPt>
            <c:idx val="1"/>
            <c:marker>
              <c:symbol val="square"/>
              <c:size val="15"/>
              <c:spPr>
                <a:solidFill>
                  <a:srgbClr val="FFC000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202D-43CB-B0E1-BEA923DE7806}"/>
              </c:ext>
            </c:extLst>
          </c:dPt>
          <c:dPt>
            <c:idx val="2"/>
            <c:marker>
              <c:symbol val="square"/>
              <c:size val="15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752B-43B7-AA65-30E9F39B7026}"/>
              </c:ext>
            </c:extLst>
          </c:dPt>
          <c:dPt>
            <c:idx val="3"/>
            <c:marker>
              <c:symbol val="square"/>
              <c:size val="15"/>
              <c:spPr>
                <a:solidFill>
                  <a:srgbClr val="92D050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752B-43B7-AA65-30E9F39B7026}"/>
              </c:ext>
            </c:extLst>
          </c:dPt>
          <c:dPt>
            <c:idx val="4"/>
            <c:marker>
              <c:symbol val="square"/>
              <c:size val="15"/>
              <c:spPr>
                <a:solidFill>
                  <a:sysClr val="windowText" lastClr="000000"/>
                </a:solidFill>
                <a:ln w="9525">
                  <a:solidFill>
                    <a:sysClr val="windowText" lastClr="0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752B-43B7-AA65-30E9F39B7026}"/>
              </c:ext>
            </c:extLst>
          </c:dPt>
          <c:dPt>
            <c:idx val="5"/>
            <c:marker>
              <c:symbol val="square"/>
              <c:size val="15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A918-42BC-AE4F-6287B022AAD0}"/>
              </c:ext>
            </c:extLst>
          </c:dPt>
          <c:dPt>
            <c:idx val="6"/>
            <c:marker>
              <c:symbol val="square"/>
              <c:size val="1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95C1-434D-90AD-3483A138A1AC}"/>
              </c:ext>
            </c:extLst>
          </c:dPt>
          <c:xVal>
            <c:numRef>
              <c:f>'Q-U and Q-P windows park'!$Q$42:$W$42</c:f>
              <c:numCache>
                <c:formatCode>0.00</c:formatCode>
                <c:ptCount val="7"/>
                <c:pt idx="0">
                  <c:v>-2E-3</c:v>
                </c:pt>
                <c:pt idx="1">
                  <c:v>-3.29</c:v>
                </c:pt>
                <c:pt idx="2">
                  <c:v>-3.2949999999999999</c:v>
                </c:pt>
                <c:pt idx="3">
                  <c:v>-2E-3</c:v>
                </c:pt>
                <c:pt idx="4">
                  <c:v>3.3130000000000002</c:v>
                </c:pt>
                <c:pt idx="5">
                  <c:v>3.3090000000000002</c:v>
                </c:pt>
                <c:pt idx="6">
                  <c:v>-2E-3</c:v>
                </c:pt>
              </c:numCache>
            </c:numRef>
          </c:xVal>
          <c:yVal>
            <c:numRef>
              <c:f>'Q-U and Q-P windows park'!$Q$41:$W$41</c:f>
              <c:numCache>
                <c:formatCode>0.00</c:formatCode>
                <c:ptCount val="7"/>
                <c:pt idx="0">
                  <c:v>-7.0000000000000001E-3</c:v>
                </c:pt>
                <c:pt idx="1">
                  <c:v>2</c:v>
                </c:pt>
                <c:pt idx="2">
                  <c:v>9.9309999999999992</c:v>
                </c:pt>
                <c:pt idx="3">
                  <c:v>10.013</c:v>
                </c:pt>
                <c:pt idx="4">
                  <c:v>9.8520000000000003</c:v>
                </c:pt>
                <c:pt idx="5">
                  <c:v>2</c:v>
                </c:pt>
                <c:pt idx="6">
                  <c:v>-7.0000000000000001E-3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F8-4CC6-8F41-1E4BA0FC1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9330696"/>
        <c:axId val="589331088"/>
        <c:extLst/>
      </c:scatterChart>
      <c:valAx>
        <c:axId val="589330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Reactive power (Mvar)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89331088"/>
        <c:crosses val="autoZero"/>
        <c:crossBetween val="midCat"/>
      </c:valAx>
      <c:valAx>
        <c:axId val="58933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Active power (MW)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89330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383799258945516E-2"/>
          <c:y val="0.89769729596059711"/>
          <c:w val="0.96976054219264896"/>
          <c:h val="9.16182341243998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400"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'LF minimum input'!$C$9</c:f>
          <c:strCache>
            <c:ptCount val="1"/>
            <c:pt idx="0">
              <c:v>wind turbine or PV-inverter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1180229817117364"/>
          <c:y val="7.9234298279167906E-2"/>
          <c:w val="0.85249364829396312"/>
          <c:h val="0.66934602927154729"/>
        </c:manualLayout>
      </c:layout>
      <c:lineChart>
        <c:grouping val="standard"/>
        <c:varyColors val="0"/>
        <c:ser>
          <c:idx val="3"/>
          <c:order val="0"/>
          <c:tx>
            <c:strRef>
              <c:f>'Review unit type 1'!$A$40</c:f>
              <c:strCache>
                <c:ptCount val="1"/>
                <c:pt idx="0">
                  <c:v>Maximum apparent power unit (p.u.)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'Review unit type 1'!$B$38:$Q$38</c:f>
              <c:strCache>
                <c:ptCount val="16"/>
                <c:pt idx="0">
                  <c:v>P (Qc=0)</c:v>
                </c:pt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  <c:pt idx="6">
                  <c:v>C6</c:v>
                </c:pt>
                <c:pt idx="7">
                  <c:v>C7</c:v>
                </c:pt>
                <c:pt idx="8">
                  <c:v>C8</c:v>
                </c:pt>
                <c:pt idx="9">
                  <c:v>C9</c:v>
                </c:pt>
                <c:pt idx="10">
                  <c:v>C10</c:v>
                </c:pt>
                <c:pt idx="11">
                  <c:v>C11</c:v>
                </c:pt>
                <c:pt idx="12">
                  <c:v>C12</c:v>
                </c:pt>
                <c:pt idx="13">
                  <c:v>C13</c:v>
                </c:pt>
                <c:pt idx="14">
                  <c:v>P3</c:v>
                </c:pt>
                <c:pt idx="15">
                  <c:v>P4</c:v>
                </c:pt>
              </c:strCache>
            </c:strRef>
          </c:cat>
          <c:val>
            <c:numRef>
              <c:f>'Review unit type 1'!$B$40:$Q$40</c:f>
              <c:numCache>
                <c:formatCode>0.00</c:formatCode>
                <c:ptCount val="16"/>
                <c:pt idx="0">
                  <c:v>0.94418604651162785</c:v>
                </c:pt>
                <c:pt idx="1">
                  <c:v>0.97209302325581393</c:v>
                </c:pt>
                <c:pt idx="2">
                  <c:v>1</c:v>
                </c:pt>
                <c:pt idx="3">
                  <c:v>0.35348837209302325</c:v>
                </c:pt>
                <c:pt idx="4">
                  <c:v>0.36744186046511629</c:v>
                </c:pt>
                <c:pt idx="5">
                  <c:v>0</c:v>
                </c:pt>
                <c:pt idx="6">
                  <c:v>0.97674418604651159</c:v>
                </c:pt>
                <c:pt idx="7">
                  <c:v>0.93953488372093019</c:v>
                </c:pt>
                <c:pt idx="8">
                  <c:v>1</c:v>
                </c:pt>
                <c:pt idx="9">
                  <c:v>0.95813953488372094</c:v>
                </c:pt>
                <c:pt idx="10">
                  <c:v>0.89767441860465114</c:v>
                </c:pt>
                <c:pt idx="11">
                  <c:v>0.88372093023255816</c:v>
                </c:pt>
                <c:pt idx="12">
                  <c:v>0.91627906976744189</c:v>
                </c:pt>
                <c:pt idx="13">
                  <c:v>0.86046511627906974</c:v>
                </c:pt>
                <c:pt idx="14">
                  <c:v>0.97209302325581393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15-46CE-95C3-BD0B64155987}"/>
            </c:ext>
          </c:extLst>
        </c:ser>
        <c:ser>
          <c:idx val="5"/>
          <c:order val="1"/>
          <c:tx>
            <c:strRef>
              <c:f>'Review unit type 1'!$A$43</c:f>
              <c:strCache>
                <c:ptCount val="1"/>
                <c:pt idx="0">
                  <c:v>Maximum current unit (p.u.)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'Review unit type 1'!$B$38:$Q$38</c:f>
              <c:strCache>
                <c:ptCount val="16"/>
                <c:pt idx="0">
                  <c:v>P (Qc=0)</c:v>
                </c:pt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  <c:pt idx="6">
                  <c:v>C6</c:v>
                </c:pt>
                <c:pt idx="7">
                  <c:v>C7</c:v>
                </c:pt>
                <c:pt idx="8">
                  <c:v>C8</c:v>
                </c:pt>
                <c:pt idx="9">
                  <c:v>C9</c:v>
                </c:pt>
                <c:pt idx="10">
                  <c:v>C10</c:v>
                </c:pt>
                <c:pt idx="11">
                  <c:v>C11</c:v>
                </c:pt>
                <c:pt idx="12">
                  <c:v>C12</c:v>
                </c:pt>
                <c:pt idx="13">
                  <c:v>C13</c:v>
                </c:pt>
                <c:pt idx="14">
                  <c:v>P3</c:v>
                </c:pt>
                <c:pt idx="15">
                  <c:v>P4</c:v>
                </c:pt>
              </c:strCache>
            </c:strRef>
          </c:cat>
          <c:val>
            <c:numRef>
              <c:f>'Review unit type 1'!$B$43:$Q$43</c:f>
              <c:numCache>
                <c:formatCode>0.00</c:formatCode>
                <c:ptCount val="16"/>
                <c:pt idx="0">
                  <c:v>0.95639336377330264</c:v>
                </c:pt>
                <c:pt idx="1">
                  <c:v>1.0039881745880399</c:v>
                </c:pt>
                <c:pt idx="2">
                  <c:v>0.99577774497828231</c:v>
                </c:pt>
                <c:pt idx="3">
                  <c:v>0.36812899734894794</c:v>
                </c:pt>
                <c:pt idx="4">
                  <c:v>0.36845936703458027</c:v>
                </c:pt>
                <c:pt idx="5">
                  <c:v>0</c:v>
                </c:pt>
                <c:pt idx="6">
                  <c:v>0.91605122278991691</c:v>
                </c:pt>
                <c:pt idx="7">
                  <c:v>0.86732243725892977</c:v>
                </c:pt>
                <c:pt idx="8">
                  <c:v>0.95034301897166873</c:v>
                </c:pt>
                <c:pt idx="9">
                  <c:v>1.001998327952653</c:v>
                </c:pt>
                <c:pt idx="10">
                  <c:v>0.99607074929629458</c:v>
                </c:pt>
                <c:pt idx="11">
                  <c:v>0.99382406483405528</c:v>
                </c:pt>
                <c:pt idx="12">
                  <c:v>0.99680081293501277</c:v>
                </c:pt>
                <c:pt idx="13">
                  <c:v>1.0003015595038733</c:v>
                </c:pt>
                <c:pt idx="14">
                  <c:v>1.0045070315258116</c:v>
                </c:pt>
                <c:pt idx="15">
                  <c:v>0.99602575936059334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15-46CE-95C3-BD0B64155987}"/>
            </c:ext>
          </c:extLst>
        </c:ser>
        <c:ser>
          <c:idx val="0"/>
          <c:order val="2"/>
          <c:tx>
            <c:strRef>
              <c:f>'Review unit type 1'!$A$39</c:f>
              <c:strCache>
                <c:ptCount val="1"/>
                <c:pt idx="0">
                  <c:v>Uc grid voltage (p.u.)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prstDash val="dash"/>
              </a:ln>
              <a:effectLst/>
            </c:spPr>
          </c:marker>
          <c:cat>
            <c:strRef>
              <c:f>'Review unit type 1'!$B$38:$Q$38</c:f>
              <c:strCache>
                <c:ptCount val="16"/>
                <c:pt idx="0">
                  <c:v>P (Qc=0)</c:v>
                </c:pt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  <c:pt idx="6">
                  <c:v>C6</c:v>
                </c:pt>
                <c:pt idx="7">
                  <c:v>C7</c:v>
                </c:pt>
                <c:pt idx="8">
                  <c:v>C8</c:v>
                </c:pt>
                <c:pt idx="9">
                  <c:v>C9</c:v>
                </c:pt>
                <c:pt idx="10">
                  <c:v>C10</c:v>
                </c:pt>
                <c:pt idx="11">
                  <c:v>C11</c:v>
                </c:pt>
                <c:pt idx="12">
                  <c:v>C12</c:v>
                </c:pt>
                <c:pt idx="13">
                  <c:v>C13</c:v>
                </c:pt>
                <c:pt idx="14">
                  <c:v>P3</c:v>
                </c:pt>
                <c:pt idx="15">
                  <c:v>P4</c:v>
                </c:pt>
              </c:strCache>
            </c:strRef>
          </c:cat>
          <c:val>
            <c:numRef>
              <c:f>'Review unit type 1'!$B$39:$Q$39</c:f>
              <c:numCache>
                <c:formatCode>0.00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1.05</c:v>
                </c:pt>
                <c:pt idx="9">
                  <c:v>0.95</c:v>
                </c:pt>
                <c:pt idx="10">
                  <c:v>0.95</c:v>
                </c:pt>
                <c:pt idx="11">
                  <c:v>0.9</c:v>
                </c:pt>
                <c:pt idx="12">
                  <c:v>0.9</c:v>
                </c:pt>
                <c:pt idx="13">
                  <c:v>0.85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0415-46CE-95C3-BD0B64155987}"/>
            </c:ext>
          </c:extLst>
        </c:ser>
        <c:ser>
          <c:idx val="1"/>
          <c:order val="3"/>
          <c:tx>
            <c:strRef>
              <c:f>'Review unit type 1'!$A$44</c:f>
              <c:strCache>
                <c:ptCount val="1"/>
                <c:pt idx="0">
                  <c:v>One per unit line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lgDash"/>
              <a:round/>
            </a:ln>
            <a:effectLst/>
          </c:spPr>
          <c:marker>
            <c:symbol val="none"/>
          </c:marker>
          <c:cat>
            <c:strRef>
              <c:f>'Review unit type 1'!$B$38:$Q$38</c:f>
              <c:strCache>
                <c:ptCount val="16"/>
                <c:pt idx="0">
                  <c:v>P (Qc=0)</c:v>
                </c:pt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  <c:pt idx="6">
                  <c:v>C6</c:v>
                </c:pt>
                <c:pt idx="7">
                  <c:v>C7</c:v>
                </c:pt>
                <c:pt idx="8">
                  <c:v>C8</c:v>
                </c:pt>
                <c:pt idx="9">
                  <c:v>C9</c:v>
                </c:pt>
                <c:pt idx="10">
                  <c:v>C10</c:v>
                </c:pt>
                <c:pt idx="11">
                  <c:v>C11</c:v>
                </c:pt>
                <c:pt idx="12">
                  <c:v>C12</c:v>
                </c:pt>
                <c:pt idx="13">
                  <c:v>C13</c:v>
                </c:pt>
                <c:pt idx="14">
                  <c:v>P3</c:v>
                </c:pt>
                <c:pt idx="15">
                  <c:v>P4</c:v>
                </c:pt>
              </c:strCache>
            </c:strRef>
          </c:cat>
          <c:val>
            <c:numRef>
              <c:f>'Review unit type 1'!$B$44:$Q$44</c:f>
              <c:numCache>
                <c:formatCode>0.00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23-421A-B42B-169A7F4F7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584896"/>
        <c:axId val="913583912"/>
        <c:extLst/>
      </c:lineChart>
      <c:catAx>
        <c:axId val="913584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Scenario NBNL RFG CVD version 2.0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3583912"/>
        <c:crosses val="autoZero"/>
        <c:auto val="1"/>
        <c:lblAlgn val="ctr"/>
        <c:lblOffset val="100"/>
        <c:noMultiLvlLbl val="0"/>
      </c:catAx>
      <c:valAx>
        <c:axId val="913583912"/>
        <c:scaling>
          <c:orientation val="minMax"/>
          <c:max val="1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Grid voltage, Active power PGM, Apparent power unit, Current unit (per unit)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358489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78874318070466"/>
          <c:w val="1"/>
          <c:h val="0.103916318434531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'LF minimum input'!$C$9</c:f>
          <c:strCache>
            <c:ptCount val="1"/>
            <c:pt idx="0">
              <c:v>wind turbine or PV-inverter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0692542049607143"/>
          <c:y val="7.7003848396127381E-2"/>
          <c:w val="0.85515594714647802"/>
          <c:h val="0.70329018221943151"/>
        </c:manualLayout>
      </c:layout>
      <c:lineChart>
        <c:grouping val="standard"/>
        <c:varyColors val="0"/>
        <c:ser>
          <c:idx val="0"/>
          <c:order val="0"/>
          <c:tx>
            <c:strRef>
              <c:f>'LF minimum input'!$H$18</c:f>
              <c:strCache>
                <c:ptCount val="1"/>
                <c:pt idx="0">
                  <c:v>Maximum voltage limit unit (p.u.)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'Review unit type 1'!$B$38:$Q$38</c:f>
              <c:strCache>
                <c:ptCount val="16"/>
                <c:pt idx="0">
                  <c:v>P (Qc=0)</c:v>
                </c:pt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  <c:pt idx="6">
                  <c:v>C6</c:v>
                </c:pt>
                <c:pt idx="7">
                  <c:v>C7</c:v>
                </c:pt>
                <c:pt idx="8">
                  <c:v>C8</c:v>
                </c:pt>
                <c:pt idx="9">
                  <c:v>C9</c:v>
                </c:pt>
                <c:pt idx="10">
                  <c:v>C10</c:v>
                </c:pt>
                <c:pt idx="11">
                  <c:v>C11</c:v>
                </c:pt>
                <c:pt idx="12">
                  <c:v>C12</c:v>
                </c:pt>
                <c:pt idx="13">
                  <c:v>C13</c:v>
                </c:pt>
                <c:pt idx="14">
                  <c:v>P3</c:v>
                </c:pt>
                <c:pt idx="15">
                  <c:v>P4</c:v>
                </c:pt>
              </c:strCache>
            </c:strRef>
          </c:cat>
          <c:val>
            <c:numRef>
              <c:f>'LF minimum input'!$I$18:$X$18</c:f>
              <c:numCache>
                <c:formatCode>0.00</c:formatCode>
                <c:ptCount val="16"/>
                <c:pt idx="0">
                  <c:v>1.1000000000000001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1.1000000000000001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1.1000000000000001</c:v>
                </c:pt>
                <c:pt idx="13">
                  <c:v>1.1000000000000001</c:v>
                </c:pt>
                <c:pt idx="14">
                  <c:v>1.1000000000000001</c:v>
                </c:pt>
                <c:pt idx="15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5-490D-8290-378B7324507A}"/>
            </c:ext>
          </c:extLst>
        </c:ser>
        <c:ser>
          <c:idx val="4"/>
          <c:order val="1"/>
          <c:tx>
            <c:strRef>
              <c:f>'Review unit type 1'!$A$42</c:f>
              <c:strCache>
                <c:ptCount val="1"/>
                <c:pt idx="0">
                  <c:v>Minimum voltage unit (p.u.)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'Review unit type 1'!$B$38:$Q$38</c:f>
              <c:strCache>
                <c:ptCount val="16"/>
                <c:pt idx="0">
                  <c:v>P (Qc=0)</c:v>
                </c:pt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  <c:pt idx="6">
                  <c:v>C6</c:v>
                </c:pt>
                <c:pt idx="7">
                  <c:v>C7</c:v>
                </c:pt>
                <c:pt idx="8">
                  <c:v>C8</c:v>
                </c:pt>
                <c:pt idx="9">
                  <c:v>C9</c:v>
                </c:pt>
                <c:pt idx="10">
                  <c:v>C10</c:v>
                </c:pt>
                <c:pt idx="11">
                  <c:v>C11</c:v>
                </c:pt>
                <c:pt idx="12">
                  <c:v>C12</c:v>
                </c:pt>
                <c:pt idx="13">
                  <c:v>C13</c:v>
                </c:pt>
                <c:pt idx="14">
                  <c:v>P3</c:v>
                </c:pt>
                <c:pt idx="15">
                  <c:v>P4</c:v>
                </c:pt>
              </c:strCache>
            </c:strRef>
          </c:cat>
          <c:val>
            <c:numRef>
              <c:f>'Review unit type 1'!$B$42:$Q$42</c:f>
              <c:numCache>
                <c:formatCode>0.00</c:formatCode>
                <c:ptCount val="16"/>
                <c:pt idx="0">
                  <c:v>0.98699999999999999</c:v>
                </c:pt>
                <c:pt idx="1">
                  <c:v>0.96799999999999997</c:v>
                </c:pt>
                <c:pt idx="2">
                  <c:v>1.004</c:v>
                </c:pt>
                <c:pt idx="3">
                  <c:v>0.96</c:v>
                </c:pt>
                <c:pt idx="4">
                  <c:v>0.997</c:v>
                </c:pt>
                <c:pt idx="5">
                  <c:v>0.97699999999999998</c:v>
                </c:pt>
                <c:pt idx="6">
                  <c:v>1.0660000000000001</c:v>
                </c:pt>
                <c:pt idx="7">
                  <c:v>1.083</c:v>
                </c:pt>
                <c:pt idx="8">
                  <c:v>1.052</c:v>
                </c:pt>
                <c:pt idx="9">
                  <c:v>0.95599999999999996</c:v>
                </c:pt>
                <c:pt idx="10">
                  <c:v>0.90100000000000013</c:v>
                </c:pt>
                <c:pt idx="11">
                  <c:v>0.88900000000000001</c:v>
                </c:pt>
                <c:pt idx="12">
                  <c:v>0.91900000000000004</c:v>
                </c:pt>
                <c:pt idx="13">
                  <c:v>0.86</c:v>
                </c:pt>
                <c:pt idx="14">
                  <c:v>0.96750000000000003</c:v>
                </c:pt>
                <c:pt idx="15">
                  <c:v>1.0037499999999999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85-490D-8290-378B7324507A}"/>
            </c:ext>
          </c:extLst>
        </c:ser>
        <c:ser>
          <c:idx val="1"/>
          <c:order val="2"/>
          <c:tx>
            <c:strRef>
              <c:f>'LF minimum input'!$H$19</c:f>
              <c:strCache>
                <c:ptCount val="1"/>
                <c:pt idx="0">
                  <c:v>Minimum voltage limit unit (p.u.)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'Review unit type 1'!$B$38:$Q$38</c:f>
              <c:strCache>
                <c:ptCount val="16"/>
                <c:pt idx="0">
                  <c:v>P (Qc=0)</c:v>
                </c:pt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  <c:pt idx="6">
                  <c:v>C6</c:v>
                </c:pt>
                <c:pt idx="7">
                  <c:v>C7</c:v>
                </c:pt>
                <c:pt idx="8">
                  <c:v>C8</c:v>
                </c:pt>
                <c:pt idx="9">
                  <c:v>C9</c:v>
                </c:pt>
                <c:pt idx="10">
                  <c:v>C10</c:v>
                </c:pt>
                <c:pt idx="11">
                  <c:v>C11</c:v>
                </c:pt>
                <c:pt idx="12">
                  <c:v>C12</c:v>
                </c:pt>
                <c:pt idx="13">
                  <c:v>C13</c:v>
                </c:pt>
                <c:pt idx="14">
                  <c:v>P3</c:v>
                </c:pt>
                <c:pt idx="15">
                  <c:v>P4</c:v>
                </c:pt>
              </c:strCache>
            </c:strRef>
          </c:cat>
          <c:val>
            <c:numRef>
              <c:f>'LF minimum input'!$I$19:$X$19</c:f>
              <c:numCache>
                <c:formatCode>0.00</c:formatCode>
                <c:ptCount val="16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0.85</c:v>
                </c:pt>
                <c:pt idx="9">
                  <c:v>0.85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85-490D-8290-378B7324507A}"/>
            </c:ext>
          </c:extLst>
        </c:ser>
        <c:ser>
          <c:idx val="3"/>
          <c:order val="3"/>
          <c:tx>
            <c:strRef>
              <c:f>'Review unit type 1'!$A$41</c:f>
              <c:strCache>
                <c:ptCount val="1"/>
                <c:pt idx="0">
                  <c:v>Maximum voltage unit (p.u.)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'Review unit type 1'!$B$38:$Q$38</c:f>
              <c:strCache>
                <c:ptCount val="16"/>
                <c:pt idx="0">
                  <c:v>P (Qc=0)</c:v>
                </c:pt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  <c:pt idx="6">
                  <c:v>C6</c:v>
                </c:pt>
                <c:pt idx="7">
                  <c:v>C7</c:v>
                </c:pt>
                <c:pt idx="8">
                  <c:v>C8</c:v>
                </c:pt>
                <c:pt idx="9">
                  <c:v>C9</c:v>
                </c:pt>
                <c:pt idx="10">
                  <c:v>C10</c:v>
                </c:pt>
                <c:pt idx="11">
                  <c:v>C11</c:v>
                </c:pt>
                <c:pt idx="12">
                  <c:v>C12</c:v>
                </c:pt>
                <c:pt idx="13">
                  <c:v>C13</c:v>
                </c:pt>
                <c:pt idx="14">
                  <c:v>P3</c:v>
                </c:pt>
                <c:pt idx="15">
                  <c:v>P4</c:v>
                </c:pt>
              </c:strCache>
            </c:strRef>
          </c:cat>
          <c:val>
            <c:numRef>
              <c:f>'Review unit type 1'!$B$41:$Q$41</c:f>
              <c:numCache>
                <c:formatCode>0.00</c:formatCode>
                <c:ptCount val="16"/>
                <c:pt idx="0">
                  <c:v>0.998</c:v>
                </c:pt>
                <c:pt idx="1">
                  <c:v>0.97799999999999998</c:v>
                </c:pt>
                <c:pt idx="2">
                  <c:v>1.018</c:v>
                </c:pt>
                <c:pt idx="3">
                  <c:v>0.96099999999999997</c:v>
                </c:pt>
                <c:pt idx="4">
                  <c:v>1.0009999999999999</c:v>
                </c:pt>
                <c:pt idx="5">
                  <c:v>0.97699999999999998</c:v>
                </c:pt>
                <c:pt idx="6">
                  <c:v>1.075</c:v>
                </c:pt>
                <c:pt idx="7">
                  <c:v>1.093</c:v>
                </c:pt>
                <c:pt idx="8">
                  <c:v>1.0649999999999999</c:v>
                </c:pt>
                <c:pt idx="9">
                  <c:v>0.97</c:v>
                </c:pt>
                <c:pt idx="10">
                  <c:v>0.91400000000000003</c:v>
                </c:pt>
                <c:pt idx="11">
                  <c:v>0.90200000000000002</c:v>
                </c:pt>
                <c:pt idx="12">
                  <c:v>0.92800000000000016</c:v>
                </c:pt>
                <c:pt idx="13">
                  <c:v>0.873</c:v>
                </c:pt>
                <c:pt idx="14">
                  <c:v>0.97750000000000004</c:v>
                </c:pt>
                <c:pt idx="15">
                  <c:v>1.0175000000000001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85-490D-8290-378B7324507A}"/>
            </c:ext>
          </c:extLst>
        </c:ser>
        <c:ser>
          <c:idx val="5"/>
          <c:order val="4"/>
          <c:tx>
            <c:strRef>
              <c:f>'Review unit type 1'!$A$39</c:f>
              <c:strCache>
                <c:ptCount val="1"/>
                <c:pt idx="0">
                  <c:v>Uc grid voltage (p.u.)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38100">
                <a:solidFill>
                  <a:srgbClr val="0070C0"/>
                </a:solidFill>
                <a:prstDash val="dash"/>
              </a:ln>
              <a:effectLst/>
            </c:spPr>
          </c:marker>
          <c:cat>
            <c:strRef>
              <c:f>'Review unit type 1'!$B$38:$Q$38</c:f>
              <c:strCache>
                <c:ptCount val="16"/>
                <c:pt idx="0">
                  <c:v>P (Qc=0)</c:v>
                </c:pt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  <c:pt idx="6">
                  <c:v>C6</c:v>
                </c:pt>
                <c:pt idx="7">
                  <c:v>C7</c:v>
                </c:pt>
                <c:pt idx="8">
                  <c:v>C8</c:v>
                </c:pt>
                <c:pt idx="9">
                  <c:v>C9</c:v>
                </c:pt>
                <c:pt idx="10">
                  <c:v>C10</c:v>
                </c:pt>
                <c:pt idx="11">
                  <c:v>C11</c:v>
                </c:pt>
                <c:pt idx="12">
                  <c:v>C12</c:v>
                </c:pt>
                <c:pt idx="13">
                  <c:v>C13</c:v>
                </c:pt>
                <c:pt idx="14">
                  <c:v>P3</c:v>
                </c:pt>
                <c:pt idx="15">
                  <c:v>P4</c:v>
                </c:pt>
              </c:strCache>
            </c:strRef>
          </c:cat>
          <c:val>
            <c:numRef>
              <c:f>'Review unit type 1'!$B$39:$Q$39</c:f>
              <c:numCache>
                <c:formatCode>0.00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1.05</c:v>
                </c:pt>
                <c:pt idx="9">
                  <c:v>0.95</c:v>
                </c:pt>
                <c:pt idx="10">
                  <c:v>0.95</c:v>
                </c:pt>
                <c:pt idx="11">
                  <c:v>0.9</c:v>
                </c:pt>
                <c:pt idx="12">
                  <c:v>0.9</c:v>
                </c:pt>
                <c:pt idx="13">
                  <c:v>0.85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7085-490D-8290-378B73245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3584896"/>
        <c:axId val="913583912"/>
        <c:extLst/>
      </c:lineChart>
      <c:catAx>
        <c:axId val="913584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Scenario NBNL RFG CVD version 2.0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3583912"/>
        <c:crosses val="autoZero"/>
        <c:auto val="1"/>
        <c:lblAlgn val="ctr"/>
        <c:lblOffset val="100"/>
        <c:noMultiLvlLbl val="0"/>
      </c:catAx>
      <c:valAx>
        <c:axId val="913583912"/>
        <c:scaling>
          <c:orientation val="minMax"/>
          <c:max val="1.2"/>
          <c:min val="0.8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Grid voltage, maximum and minimum voltage unit and limits (per unit)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358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75233089161441E-2"/>
          <c:y val="0.88757957717812042"/>
          <c:w val="0.96572355706340551"/>
          <c:h val="0.100184264975443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'LF minimum input'!$C$10</c:f>
          <c:strCache>
            <c:ptCount val="1"/>
            <c:pt idx="0">
              <c:v>wind turbine or PV-inverter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1180229817117364"/>
          <c:y val="7.9234298279167906E-2"/>
          <c:w val="0.85249364829396312"/>
          <c:h val="0.66934602927154729"/>
        </c:manualLayout>
      </c:layout>
      <c:lineChart>
        <c:grouping val="standard"/>
        <c:varyColors val="0"/>
        <c:ser>
          <c:idx val="3"/>
          <c:order val="0"/>
          <c:tx>
            <c:strRef>
              <c:f>'Review unit type 2'!$A$40</c:f>
              <c:strCache>
                <c:ptCount val="1"/>
                <c:pt idx="0">
                  <c:v>Maximum apparent power unit (p.u.)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'Review unit type 2'!$B$38:$Q$38</c:f>
              <c:strCache>
                <c:ptCount val="16"/>
                <c:pt idx="0">
                  <c:v>P (Qc=0)</c:v>
                </c:pt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  <c:pt idx="6">
                  <c:v>C6</c:v>
                </c:pt>
                <c:pt idx="7">
                  <c:v>C7</c:v>
                </c:pt>
                <c:pt idx="8">
                  <c:v>C8</c:v>
                </c:pt>
                <c:pt idx="9">
                  <c:v>C9</c:v>
                </c:pt>
                <c:pt idx="10">
                  <c:v>C10</c:v>
                </c:pt>
                <c:pt idx="11">
                  <c:v>C11</c:v>
                </c:pt>
                <c:pt idx="12">
                  <c:v>C12</c:v>
                </c:pt>
                <c:pt idx="13">
                  <c:v>C13</c:v>
                </c:pt>
                <c:pt idx="14">
                  <c:v>P3</c:v>
                </c:pt>
                <c:pt idx="15">
                  <c:v>P4</c:v>
                </c:pt>
              </c:strCache>
            </c:strRef>
          </c:cat>
          <c:val>
            <c:numRef>
              <c:f>'Review unit type 2'!$B$40:$Q$40</c:f>
              <c:numCache>
                <c:formatCode>0.00</c:formatCode>
                <c:ptCount val="16"/>
                <c:pt idx="0">
                  <c:v>0.94418604651162785</c:v>
                </c:pt>
                <c:pt idx="1">
                  <c:v>0.97209302325581393</c:v>
                </c:pt>
                <c:pt idx="2">
                  <c:v>1</c:v>
                </c:pt>
                <c:pt idx="3">
                  <c:v>0.35348837209302325</c:v>
                </c:pt>
                <c:pt idx="4">
                  <c:v>0.36744186046511629</c:v>
                </c:pt>
                <c:pt idx="5">
                  <c:v>0</c:v>
                </c:pt>
                <c:pt idx="6">
                  <c:v>0.97674418604651159</c:v>
                </c:pt>
                <c:pt idx="7">
                  <c:v>0.93953488372093019</c:v>
                </c:pt>
                <c:pt idx="8">
                  <c:v>1</c:v>
                </c:pt>
                <c:pt idx="9">
                  <c:v>0.95813953488372094</c:v>
                </c:pt>
                <c:pt idx="10">
                  <c:v>0.89767441860465114</c:v>
                </c:pt>
                <c:pt idx="11">
                  <c:v>0.88372093023255816</c:v>
                </c:pt>
                <c:pt idx="12">
                  <c:v>0.91627906976744189</c:v>
                </c:pt>
                <c:pt idx="13">
                  <c:v>0.86046511627906974</c:v>
                </c:pt>
                <c:pt idx="14">
                  <c:v>0.97209302325581393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09-4899-80C8-3E2A7BF66256}"/>
            </c:ext>
          </c:extLst>
        </c:ser>
        <c:ser>
          <c:idx val="5"/>
          <c:order val="1"/>
          <c:tx>
            <c:strRef>
              <c:f>'Review unit type 2'!$A$43</c:f>
              <c:strCache>
                <c:ptCount val="1"/>
                <c:pt idx="0">
                  <c:v>Maximum current unit (p.u.)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'Review unit type 2'!$B$38:$Q$38</c:f>
              <c:strCache>
                <c:ptCount val="16"/>
                <c:pt idx="0">
                  <c:v>P (Qc=0)</c:v>
                </c:pt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  <c:pt idx="6">
                  <c:v>C6</c:v>
                </c:pt>
                <c:pt idx="7">
                  <c:v>C7</c:v>
                </c:pt>
                <c:pt idx="8">
                  <c:v>C8</c:v>
                </c:pt>
                <c:pt idx="9">
                  <c:v>C9</c:v>
                </c:pt>
                <c:pt idx="10">
                  <c:v>C10</c:v>
                </c:pt>
                <c:pt idx="11">
                  <c:v>C11</c:v>
                </c:pt>
                <c:pt idx="12">
                  <c:v>C12</c:v>
                </c:pt>
                <c:pt idx="13">
                  <c:v>C13</c:v>
                </c:pt>
                <c:pt idx="14">
                  <c:v>P3</c:v>
                </c:pt>
                <c:pt idx="15">
                  <c:v>P4</c:v>
                </c:pt>
              </c:strCache>
            </c:strRef>
          </c:cat>
          <c:val>
            <c:numRef>
              <c:f>'Review unit type 2'!$B$43:$Q$43</c:f>
              <c:numCache>
                <c:formatCode>0.00</c:formatCode>
                <c:ptCount val="16"/>
                <c:pt idx="0">
                  <c:v>0.95639336377330264</c:v>
                </c:pt>
                <c:pt idx="1">
                  <c:v>1.0039881745880399</c:v>
                </c:pt>
                <c:pt idx="2">
                  <c:v>0.99577774497828231</c:v>
                </c:pt>
                <c:pt idx="3">
                  <c:v>0.36812899734894794</c:v>
                </c:pt>
                <c:pt idx="4">
                  <c:v>0.36845936703458027</c:v>
                </c:pt>
                <c:pt idx="5">
                  <c:v>0</c:v>
                </c:pt>
                <c:pt idx="6">
                  <c:v>0.91605122278991691</c:v>
                </c:pt>
                <c:pt idx="7">
                  <c:v>0.86732243725892977</c:v>
                </c:pt>
                <c:pt idx="8">
                  <c:v>0.95034301897166873</c:v>
                </c:pt>
                <c:pt idx="9">
                  <c:v>1.001998327952653</c:v>
                </c:pt>
                <c:pt idx="10">
                  <c:v>0.99607074929629458</c:v>
                </c:pt>
                <c:pt idx="11">
                  <c:v>0.99382406483405528</c:v>
                </c:pt>
                <c:pt idx="12">
                  <c:v>0.99680081293501277</c:v>
                </c:pt>
                <c:pt idx="13">
                  <c:v>1.0003015595038733</c:v>
                </c:pt>
                <c:pt idx="14">
                  <c:v>1.0045070315258116</c:v>
                </c:pt>
                <c:pt idx="15">
                  <c:v>0.99602575936059334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09-4899-80C8-3E2A7BF66256}"/>
            </c:ext>
          </c:extLst>
        </c:ser>
        <c:ser>
          <c:idx val="0"/>
          <c:order val="2"/>
          <c:tx>
            <c:strRef>
              <c:f>'Review unit type 2'!$A$39</c:f>
              <c:strCache>
                <c:ptCount val="1"/>
                <c:pt idx="0">
                  <c:v>Uc grid voltage (p.u.)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prstDash val="dash"/>
              </a:ln>
              <a:effectLst/>
            </c:spPr>
          </c:marker>
          <c:cat>
            <c:strRef>
              <c:f>'Review unit type 2'!$B$38:$Q$38</c:f>
              <c:strCache>
                <c:ptCount val="16"/>
                <c:pt idx="0">
                  <c:v>P (Qc=0)</c:v>
                </c:pt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  <c:pt idx="6">
                  <c:v>C6</c:v>
                </c:pt>
                <c:pt idx="7">
                  <c:v>C7</c:v>
                </c:pt>
                <c:pt idx="8">
                  <c:v>C8</c:v>
                </c:pt>
                <c:pt idx="9">
                  <c:v>C9</c:v>
                </c:pt>
                <c:pt idx="10">
                  <c:v>C10</c:v>
                </c:pt>
                <c:pt idx="11">
                  <c:v>C11</c:v>
                </c:pt>
                <c:pt idx="12">
                  <c:v>C12</c:v>
                </c:pt>
                <c:pt idx="13">
                  <c:v>C13</c:v>
                </c:pt>
                <c:pt idx="14">
                  <c:v>P3</c:v>
                </c:pt>
                <c:pt idx="15">
                  <c:v>P4</c:v>
                </c:pt>
              </c:strCache>
            </c:strRef>
          </c:cat>
          <c:val>
            <c:numRef>
              <c:f>'Review unit type 2'!$B$39:$Q$39</c:f>
              <c:numCache>
                <c:formatCode>0.00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1.05</c:v>
                </c:pt>
                <c:pt idx="9">
                  <c:v>0.95</c:v>
                </c:pt>
                <c:pt idx="10">
                  <c:v>0.95</c:v>
                </c:pt>
                <c:pt idx="11">
                  <c:v>0.9</c:v>
                </c:pt>
                <c:pt idx="12">
                  <c:v>0.9</c:v>
                </c:pt>
                <c:pt idx="13">
                  <c:v>0.85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5A09-4899-80C8-3E2A7BF66256}"/>
            </c:ext>
          </c:extLst>
        </c:ser>
        <c:ser>
          <c:idx val="1"/>
          <c:order val="3"/>
          <c:tx>
            <c:strRef>
              <c:f>'Review unit type 2'!$A$44</c:f>
              <c:strCache>
                <c:ptCount val="1"/>
                <c:pt idx="0">
                  <c:v>One per unit line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lgDash"/>
              <a:round/>
            </a:ln>
            <a:effectLst/>
          </c:spPr>
          <c:marker>
            <c:symbol val="none"/>
          </c:marker>
          <c:cat>
            <c:strRef>
              <c:f>'Review unit type 2'!$B$38:$Q$38</c:f>
              <c:strCache>
                <c:ptCount val="16"/>
                <c:pt idx="0">
                  <c:v>P (Qc=0)</c:v>
                </c:pt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  <c:pt idx="6">
                  <c:v>C6</c:v>
                </c:pt>
                <c:pt idx="7">
                  <c:v>C7</c:v>
                </c:pt>
                <c:pt idx="8">
                  <c:v>C8</c:v>
                </c:pt>
                <c:pt idx="9">
                  <c:v>C9</c:v>
                </c:pt>
                <c:pt idx="10">
                  <c:v>C10</c:v>
                </c:pt>
                <c:pt idx="11">
                  <c:v>C11</c:v>
                </c:pt>
                <c:pt idx="12">
                  <c:v>C12</c:v>
                </c:pt>
                <c:pt idx="13">
                  <c:v>C13</c:v>
                </c:pt>
                <c:pt idx="14">
                  <c:v>P3</c:v>
                </c:pt>
                <c:pt idx="15">
                  <c:v>P4</c:v>
                </c:pt>
              </c:strCache>
            </c:strRef>
          </c:cat>
          <c:val>
            <c:numRef>
              <c:f>'Review unit type 2'!$B$44:$Q$44</c:f>
              <c:numCache>
                <c:formatCode>0.00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09-4899-80C8-3E2A7BF66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584896"/>
        <c:axId val="913583912"/>
        <c:extLst/>
      </c:lineChart>
      <c:catAx>
        <c:axId val="913584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Scenario NBNL RFG CVD version 2.0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3583912"/>
        <c:crosses val="autoZero"/>
        <c:auto val="1"/>
        <c:lblAlgn val="ctr"/>
        <c:lblOffset val="100"/>
        <c:noMultiLvlLbl val="0"/>
      </c:catAx>
      <c:valAx>
        <c:axId val="913583912"/>
        <c:scaling>
          <c:orientation val="minMax"/>
          <c:max val="1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Grid voltage, Active power PGM, Apparent power unit, Current unit (per unit)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358489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78874318070466"/>
          <c:w val="1"/>
          <c:h val="0.103916318434531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'LF minimum input'!$C$10</c:f>
          <c:strCache>
            <c:ptCount val="1"/>
            <c:pt idx="0">
              <c:v>wind turbine or PV-inverter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0692542049607143"/>
          <c:y val="7.7003848396127381E-2"/>
          <c:w val="0.85515594714647802"/>
          <c:h val="0.70329018221943151"/>
        </c:manualLayout>
      </c:layout>
      <c:lineChart>
        <c:grouping val="standard"/>
        <c:varyColors val="0"/>
        <c:ser>
          <c:idx val="0"/>
          <c:order val="0"/>
          <c:tx>
            <c:strRef>
              <c:f>'LF minimum input'!$H$18</c:f>
              <c:strCache>
                <c:ptCount val="1"/>
                <c:pt idx="0">
                  <c:v>Maximum voltage limit unit (p.u.)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'Review unit type 2'!$B$38:$Q$38</c:f>
              <c:strCache>
                <c:ptCount val="16"/>
                <c:pt idx="0">
                  <c:v>P (Qc=0)</c:v>
                </c:pt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  <c:pt idx="6">
                  <c:v>C6</c:v>
                </c:pt>
                <c:pt idx="7">
                  <c:v>C7</c:v>
                </c:pt>
                <c:pt idx="8">
                  <c:v>C8</c:v>
                </c:pt>
                <c:pt idx="9">
                  <c:v>C9</c:v>
                </c:pt>
                <c:pt idx="10">
                  <c:v>C10</c:v>
                </c:pt>
                <c:pt idx="11">
                  <c:v>C11</c:v>
                </c:pt>
                <c:pt idx="12">
                  <c:v>C12</c:v>
                </c:pt>
                <c:pt idx="13">
                  <c:v>C13</c:v>
                </c:pt>
                <c:pt idx="14">
                  <c:v>P3</c:v>
                </c:pt>
                <c:pt idx="15">
                  <c:v>P4</c:v>
                </c:pt>
              </c:strCache>
            </c:strRef>
          </c:cat>
          <c:val>
            <c:numRef>
              <c:f>'LF minimum input'!$I$29:$X$29</c:f>
              <c:numCache>
                <c:formatCode>0.00</c:formatCode>
                <c:ptCount val="16"/>
                <c:pt idx="0">
                  <c:v>1.1000000000000001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1.1000000000000001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1.1000000000000001</c:v>
                </c:pt>
                <c:pt idx="13">
                  <c:v>1.1000000000000001</c:v>
                </c:pt>
                <c:pt idx="14">
                  <c:v>1.1000000000000001</c:v>
                </c:pt>
                <c:pt idx="15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A-46C2-BCC6-C3FFD8D38ABF}"/>
            </c:ext>
          </c:extLst>
        </c:ser>
        <c:ser>
          <c:idx val="4"/>
          <c:order val="1"/>
          <c:tx>
            <c:strRef>
              <c:f>'Review unit type 2'!$A$42</c:f>
              <c:strCache>
                <c:ptCount val="1"/>
                <c:pt idx="0">
                  <c:v>Minimum voltage unit (p.u.)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'Review unit type 2'!$B$38:$Q$38</c:f>
              <c:strCache>
                <c:ptCount val="16"/>
                <c:pt idx="0">
                  <c:v>P (Qc=0)</c:v>
                </c:pt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  <c:pt idx="6">
                  <c:v>C6</c:v>
                </c:pt>
                <c:pt idx="7">
                  <c:v>C7</c:v>
                </c:pt>
                <c:pt idx="8">
                  <c:v>C8</c:v>
                </c:pt>
                <c:pt idx="9">
                  <c:v>C9</c:v>
                </c:pt>
                <c:pt idx="10">
                  <c:v>C10</c:v>
                </c:pt>
                <c:pt idx="11">
                  <c:v>C11</c:v>
                </c:pt>
                <c:pt idx="12">
                  <c:v>C12</c:v>
                </c:pt>
                <c:pt idx="13">
                  <c:v>C13</c:v>
                </c:pt>
                <c:pt idx="14">
                  <c:v>P3</c:v>
                </c:pt>
                <c:pt idx="15">
                  <c:v>P4</c:v>
                </c:pt>
              </c:strCache>
            </c:strRef>
          </c:cat>
          <c:val>
            <c:numRef>
              <c:f>'Review unit type 2'!$B$42:$Q$42</c:f>
              <c:numCache>
                <c:formatCode>0.00</c:formatCode>
                <c:ptCount val="16"/>
                <c:pt idx="0">
                  <c:v>0.98699999999999999</c:v>
                </c:pt>
                <c:pt idx="1">
                  <c:v>0.96799999999999997</c:v>
                </c:pt>
                <c:pt idx="2">
                  <c:v>1.004</c:v>
                </c:pt>
                <c:pt idx="3">
                  <c:v>0.96</c:v>
                </c:pt>
                <c:pt idx="4">
                  <c:v>0.997</c:v>
                </c:pt>
                <c:pt idx="5">
                  <c:v>0.97699999999999998</c:v>
                </c:pt>
                <c:pt idx="6">
                  <c:v>1.0660000000000001</c:v>
                </c:pt>
                <c:pt idx="7">
                  <c:v>1.083</c:v>
                </c:pt>
                <c:pt idx="8">
                  <c:v>1.052</c:v>
                </c:pt>
                <c:pt idx="9">
                  <c:v>0.95599999999999996</c:v>
                </c:pt>
                <c:pt idx="10">
                  <c:v>0.90100000000000013</c:v>
                </c:pt>
                <c:pt idx="11">
                  <c:v>0.88900000000000001</c:v>
                </c:pt>
                <c:pt idx="12">
                  <c:v>0.91900000000000004</c:v>
                </c:pt>
                <c:pt idx="13">
                  <c:v>0.86</c:v>
                </c:pt>
                <c:pt idx="14">
                  <c:v>0.96750000000000003</c:v>
                </c:pt>
                <c:pt idx="15">
                  <c:v>1.0037499999999999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FA-46C2-BCC6-C3FFD8D38ABF}"/>
            </c:ext>
          </c:extLst>
        </c:ser>
        <c:ser>
          <c:idx val="1"/>
          <c:order val="2"/>
          <c:tx>
            <c:strRef>
              <c:f>'LF minimum input'!$H$19</c:f>
              <c:strCache>
                <c:ptCount val="1"/>
                <c:pt idx="0">
                  <c:v>Minimum voltage limit unit (p.u.)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'Review unit type 2'!$B$38:$Q$38</c:f>
              <c:strCache>
                <c:ptCount val="16"/>
                <c:pt idx="0">
                  <c:v>P (Qc=0)</c:v>
                </c:pt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  <c:pt idx="6">
                  <c:v>C6</c:v>
                </c:pt>
                <c:pt idx="7">
                  <c:v>C7</c:v>
                </c:pt>
                <c:pt idx="8">
                  <c:v>C8</c:v>
                </c:pt>
                <c:pt idx="9">
                  <c:v>C9</c:v>
                </c:pt>
                <c:pt idx="10">
                  <c:v>C10</c:v>
                </c:pt>
                <c:pt idx="11">
                  <c:v>C11</c:v>
                </c:pt>
                <c:pt idx="12">
                  <c:v>C12</c:v>
                </c:pt>
                <c:pt idx="13">
                  <c:v>C13</c:v>
                </c:pt>
                <c:pt idx="14">
                  <c:v>P3</c:v>
                </c:pt>
                <c:pt idx="15">
                  <c:v>P4</c:v>
                </c:pt>
              </c:strCache>
            </c:strRef>
          </c:cat>
          <c:val>
            <c:numRef>
              <c:f>'LF minimum input'!$I$30:$X$30</c:f>
              <c:numCache>
                <c:formatCode>0.00</c:formatCode>
                <c:ptCount val="16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0.85</c:v>
                </c:pt>
                <c:pt idx="9">
                  <c:v>0.85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FA-46C2-BCC6-C3FFD8D38ABF}"/>
            </c:ext>
          </c:extLst>
        </c:ser>
        <c:ser>
          <c:idx val="3"/>
          <c:order val="3"/>
          <c:tx>
            <c:strRef>
              <c:f>'Review unit type 2'!$A$41</c:f>
              <c:strCache>
                <c:ptCount val="1"/>
                <c:pt idx="0">
                  <c:v>Maximum voltage unit (p.u.)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'Review unit type 2'!$B$38:$Q$38</c:f>
              <c:strCache>
                <c:ptCount val="16"/>
                <c:pt idx="0">
                  <c:v>P (Qc=0)</c:v>
                </c:pt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  <c:pt idx="6">
                  <c:v>C6</c:v>
                </c:pt>
                <c:pt idx="7">
                  <c:v>C7</c:v>
                </c:pt>
                <c:pt idx="8">
                  <c:v>C8</c:v>
                </c:pt>
                <c:pt idx="9">
                  <c:v>C9</c:v>
                </c:pt>
                <c:pt idx="10">
                  <c:v>C10</c:v>
                </c:pt>
                <c:pt idx="11">
                  <c:v>C11</c:v>
                </c:pt>
                <c:pt idx="12">
                  <c:v>C12</c:v>
                </c:pt>
                <c:pt idx="13">
                  <c:v>C13</c:v>
                </c:pt>
                <c:pt idx="14">
                  <c:v>P3</c:v>
                </c:pt>
                <c:pt idx="15">
                  <c:v>P4</c:v>
                </c:pt>
              </c:strCache>
            </c:strRef>
          </c:cat>
          <c:val>
            <c:numRef>
              <c:f>'Review unit type 2'!$B$41:$Q$41</c:f>
              <c:numCache>
                <c:formatCode>0.00</c:formatCode>
                <c:ptCount val="16"/>
                <c:pt idx="0">
                  <c:v>0.998</c:v>
                </c:pt>
                <c:pt idx="1">
                  <c:v>0.97799999999999998</c:v>
                </c:pt>
                <c:pt idx="2">
                  <c:v>1.018</c:v>
                </c:pt>
                <c:pt idx="3">
                  <c:v>0.96099999999999997</c:v>
                </c:pt>
                <c:pt idx="4">
                  <c:v>1.0009999999999999</c:v>
                </c:pt>
                <c:pt idx="5">
                  <c:v>0.97699999999999998</c:v>
                </c:pt>
                <c:pt idx="6">
                  <c:v>1.075</c:v>
                </c:pt>
                <c:pt idx="7">
                  <c:v>1.093</c:v>
                </c:pt>
                <c:pt idx="8">
                  <c:v>1.0649999999999999</c:v>
                </c:pt>
                <c:pt idx="9">
                  <c:v>0.97</c:v>
                </c:pt>
                <c:pt idx="10">
                  <c:v>0.91400000000000003</c:v>
                </c:pt>
                <c:pt idx="11">
                  <c:v>0.90200000000000002</c:v>
                </c:pt>
                <c:pt idx="12">
                  <c:v>0.92800000000000016</c:v>
                </c:pt>
                <c:pt idx="13">
                  <c:v>0.873</c:v>
                </c:pt>
                <c:pt idx="14">
                  <c:v>0.97750000000000004</c:v>
                </c:pt>
                <c:pt idx="15">
                  <c:v>1.0175000000000001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FA-46C2-BCC6-C3FFD8D38ABF}"/>
            </c:ext>
          </c:extLst>
        </c:ser>
        <c:ser>
          <c:idx val="5"/>
          <c:order val="4"/>
          <c:tx>
            <c:strRef>
              <c:f>'Review unit type 2'!$A$39</c:f>
              <c:strCache>
                <c:ptCount val="1"/>
                <c:pt idx="0">
                  <c:v>Uc grid voltage (p.u.)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38100">
                <a:solidFill>
                  <a:srgbClr val="0070C0"/>
                </a:solidFill>
                <a:prstDash val="dash"/>
              </a:ln>
              <a:effectLst/>
            </c:spPr>
          </c:marker>
          <c:cat>
            <c:strRef>
              <c:f>'Review unit type 2'!$B$38:$Q$38</c:f>
              <c:strCache>
                <c:ptCount val="16"/>
                <c:pt idx="0">
                  <c:v>P (Qc=0)</c:v>
                </c:pt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  <c:pt idx="6">
                  <c:v>C6</c:v>
                </c:pt>
                <c:pt idx="7">
                  <c:v>C7</c:v>
                </c:pt>
                <c:pt idx="8">
                  <c:v>C8</c:v>
                </c:pt>
                <c:pt idx="9">
                  <c:v>C9</c:v>
                </c:pt>
                <c:pt idx="10">
                  <c:v>C10</c:v>
                </c:pt>
                <c:pt idx="11">
                  <c:v>C11</c:v>
                </c:pt>
                <c:pt idx="12">
                  <c:v>C12</c:v>
                </c:pt>
                <c:pt idx="13">
                  <c:v>C13</c:v>
                </c:pt>
                <c:pt idx="14">
                  <c:v>P3</c:v>
                </c:pt>
                <c:pt idx="15">
                  <c:v>P4</c:v>
                </c:pt>
              </c:strCache>
            </c:strRef>
          </c:cat>
          <c:val>
            <c:numRef>
              <c:f>'Review unit type 2'!$B$39:$Q$39</c:f>
              <c:numCache>
                <c:formatCode>0.00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1.05</c:v>
                </c:pt>
                <c:pt idx="9">
                  <c:v>0.95</c:v>
                </c:pt>
                <c:pt idx="10">
                  <c:v>0.95</c:v>
                </c:pt>
                <c:pt idx="11">
                  <c:v>0.9</c:v>
                </c:pt>
                <c:pt idx="12">
                  <c:v>0.9</c:v>
                </c:pt>
                <c:pt idx="13">
                  <c:v>0.85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F8FA-46C2-BCC6-C3FFD8D38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3584896"/>
        <c:axId val="913583912"/>
        <c:extLst/>
      </c:lineChart>
      <c:catAx>
        <c:axId val="913584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Scenario NBNL RFG CVD version 2.0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3583912"/>
        <c:crosses val="autoZero"/>
        <c:auto val="1"/>
        <c:lblAlgn val="ctr"/>
        <c:lblOffset val="100"/>
        <c:noMultiLvlLbl val="0"/>
      </c:catAx>
      <c:valAx>
        <c:axId val="913583912"/>
        <c:scaling>
          <c:orientation val="minMax"/>
          <c:max val="1.2"/>
          <c:min val="0.8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Grid voltage, maximum and minimum voltage unit and limits (per unit)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358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75233089161441E-2"/>
          <c:y val="0.88757957717812042"/>
          <c:w val="0.96572355706340551"/>
          <c:h val="0.100184264975443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'LF minimum input'!$C$11</c:f>
          <c:strCache>
            <c:ptCount val="1"/>
            <c:pt idx="0">
              <c:v>wind turbine or PV-inverter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1180229817117364"/>
          <c:y val="7.9234298279167906E-2"/>
          <c:w val="0.85249364829396312"/>
          <c:h val="0.66934602927154729"/>
        </c:manualLayout>
      </c:layout>
      <c:lineChart>
        <c:grouping val="standard"/>
        <c:varyColors val="0"/>
        <c:ser>
          <c:idx val="3"/>
          <c:order val="0"/>
          <c:tx>
            <c:strRef>
              <c:f>'Review unit type 3'!$A$40</c:f>
              <c:strCache>
                <c:ptCount val="1"/>
                <c:pt idx="0">
                  <c:v>Maximum apparent power unit (p.u.)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'Review unit type 3'!$B$38:$O$38</c:f>
              <c:strCache>
                <c:ptCount val="14"/>
                <c:pt idx="0">
                  <c:v>P (Qc=0)</c:v>
                </c:pt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  <c:pt idx="6">
                  <c:v>C6</c:v>
                </c:pt>
                <c:pt idx="7">
                  <c:v>C7</c:v>
                </c:pt>
                <c:pt idx="8">
                  <c:v>C8</c:v>
                </c:pt>
                <c:pt idx="9">
                  <c:v>C9</c:v>
                </c:pt>
                <c:pt idx="10">
                  <c:v>C10</c:v>
                </c:pt>
                <c:pt idx="11">
                  <c:v>C11</c:v>
                </c:pt>
                <c:pt idx="12">
                  <c:v>C12</c:v>
                </c:pt>
                <c:pt idx="13">
                  <c:v>C13</c:v>
                </c:pt>
              </c:strCache>
            </c:strRef>
          </c:cat>
          <c:val>
            <c:numRef>
              <c:f>'Review unit type 3'!$B$40:$Q$40</c:f>
              <c:numCache>
                <c:formatCode>0.00</c:formatCode>
                <c:ptCount val="16"/>
                <c:pt idx="0">
                  <c:v>0.94418604651162785</c:v>
                </c:pt>
                <c:pt idx="1">
                  <c:v>0.97209302325581393</c:v>
                </c:pt>
                <c:pt idx="2">
                  <c:v>1</c:v>
                </c:pt>
                <c:pt idx="3">
                  <c:v>0.35348837209302325</c:v>
                </c:pt>
                <c:pt idx="4">
                  <c:v>0.36744186046511629</c:v>
                </c:pt>
                <c:pt idx="5">
                  <c:v>0</c:v>
                </c:pt>
                <c:pt idx="6">
                  <c:v>0.97674418604651159</c:v>
                </c:pt>
                <c:pt idx="7">
                  <c:v>0.93953488372093019</c:v>
                </c:pt>
                <c:pt idx="8">
                  <c:v>1</c:v>
                </c:pt>
                <c:pt idx="9">
                  <c:v>0.95813953488372094</c:v>
                </c:pt>
                <c:pt idx="10">
                  <c:v>0.89767441860465114</c:v>
                </c:pt>
                <c:pt idx="11">
                  <c:v>0.88372093023255816</c:v>
                </c:pt>
                <c:pt idx="12">
                  <c:v>0.91627906976744189</c:v>
                </c:pt>
                <c:pt idx="13">
                  <c:v>0.86046511627906974</c:v>
                </c:pt>
                <c:pt idx="14">
                  <c:v>0.97209302325581393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01-4670-BB95-F4AD481A1A7A}"/>
            </c:ext>
          </c:extLst>
        </c:ser>
        <c:ser>
          <c:idx val="5"/>
          <c:order val="1"/>
          <c:tx>
            <c:strRef>
              <c:f>'Review unit type 3'!$A$43</c:f>
              <c:strCache>
                <c:ptCount val="1"/>
                <c:pt idx="0">
                  <c:v>Maximum current unit (p.u.)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'Review unit type 3'!$B$38:$O$38</c:f>
              <c:strCache>
                <c:ptCount val="14"/>
                <c:pt idx="0">
                  <c:v>P (Qc=0)</c:v>
                </c:pt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  <c:pt idx="6">
                  <c:v>C6</c:v>
                </c:pt>
                <c:pt idx="7">
                  <c:v>C7</c:v>
                </c:pt>
                <c:pt idx="8">
                  <c:v>C8</c:v>
                </c:pt>
                <c:pt idx="9">
                  <c:v>C9</c:v>
                </c:pt>
                <c:pt idx="10">
                  <c:v>C10</c:v>
                </c:pt>
                <c:pt idx="11">
                  <c:v>C11</c:v>
                </c:pt>
                <c:pt idx="12">
                  <c:v>C12</c:v>
                </c:pt>
                <c:pt idx="13">
                  <c:v>C13</c:v>
                </c:pt>
              </c:strCache>
            </c:strRef>
          </c:cat>
          <c:val>
            <c:numRef>
              <c:f>'Review unit type 3'!$B$43:$Q$43</c:f>
              <c:numCache>
                <c:formatCode>0.00</c:formatCode>
                <c:ptCount val="16"/>
                <c:pt idx="0">
                  <c:v>0.95639336377330264</c:v>
                </c:pt>
                <c:pt idx="1">
                  <c:v>1.0039881745880399</c:v>
                </c:pt>
                <c:pt idx="2">
                  <c:v>0.99577774497828231</c:v>
                </c:pt>
                <c:pt idx="3">
                  <c:v>0.36812899734894794</c:v>
                </c:pt>
                <c:pt idx="4">
                  <c:v>0.36845936703458027</c:v>
                </c:pt>
                <c:pt idx="5">
                  <c:v>0</c:v>
                </c:pt>
                <c:pt idx="6">
                  <c:v>0.91605122278991691</c:v>
                </c:pt>
                <c:pt idx="7">
                  <c:v>0.86732243725892977</c:v>
                </c:pt>
                <c:pt idx="8">
                  <c:v>0.95034301897166873</c:v>
                </c:pt>
                <c:pt idx="9">
                  <c:v>1.001998327952653</c:v>
                </c:pt>
                <c:pt idx="10">
                  <c:v>0.99607074929629458</c:v>
                </c:pt>
                <c:pt idx="11">
                  <c:v>0.99382406483405528</c:v>
                </c:pt>
                <c:pt idx="12">
                  <c:v>0.99680081293501277</c:v>
                </c:pt>
                <c:pt idx="13">
                  <c:v>1.0003015595038733</c:v>
                </c:pt>
                <c:pt idx="14">
                  <c:v>1.0045070315258116</c:v>
                </c:pt>
                <c:pt idx="15">
                  <c:v>0.99602575936059334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01-4670-BB95-F4AD481A1A7A}"/>
            </c:ext>
          </c:extLst>
        </c:ser>
        <c:ser>
          <c:idx val="0"/>
          <c:order val="2"/>
          <c:tx>
            <c:strRef>
              <c:f>'Review unit type 3'!$A$39</c:f>
              <c:strCache>
                <c:ptCount val="1"/>
                <c:pt idx="0">
                  <c:v>Uc grid voltage (p.u.)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prstDash val="dash"/>
              </a:ln>
              <a:effectLst/>
            </c:spPr>
          </c:marker>
          <c:cat>
            <c:strRef>
              <c:f>'Review unit type 3'!$B$38:$O$38</c:f>
              <c:strCache>
                <c:ptCount val="14"/>
                <c:pt idx="0">
                  <c:v>P (Qc=0)</c:v>
                </c:pt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  <c:pt idx="6">
                  <c:v>C6</c:v>
                </c:pt>
                <c:pt idx="7">
                  <c:v>C7</c:v>
                </c:pt>
                <c:pt idx="8">
                  <c:v>C8</c:v>
                </c:pt>
                <c:pt idx="9">
                  <c:v>C9</c:v>
                </c:pt>
                <c:pt idx="10">
                  <c:v>C10</c:v>
                </c:pt>
                <c:pt idx="11">
                  <c:v>C11</c:v>
                </c:pt>
                <c:pt idx="12">
                  <c:v>C12</c:v>
                </c:pt>
                <c:pt idx="13">
                  <c:v>C13</c:v>
                </c:pt>
              </c:strCache>
            </c:strRef>
          </c:cat>
          <c:val>
            <c:numRef>
              <c:f>'Review unit type 3'!$B$39:$Q$39</c:f>
              <c:numCache>
                <c:formatCode>0.00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1.05</c:v>
                </c:pt>
                <c:pt idx="9">
                  <c:v>0.95</c:v>
                </c:pt>
                <c:pt idx="10">
                  <c:v>0.95</c:v>
                </c:pt>
                <c:pt idx="11">
                  <c:v>0.9</c:v>
                </c:pt>
                <c:pt idx="12">
                  <c:v>0.9</c:v>
                </c:pt>
                <c:pt idx="13">
                  <c:v>0.85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5101-4670-BB95-F4AD481A1A7A}"/>
            </c:ext>
          </c:extLst>
        </c:ser>
        <c:ser>
          <c:idx val="1"/>
          <c:order val="3"/>
          <c:tx>
            <c:strRef>
              <c:f>'Review unit type 3'!$A$44</c:f>
              <c:strCache>
                <c:ptCount val="1"/>
                <c:pt idx="0">
                  <c:v>One per unit line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'Review unit type 3'!$B$44:$Q$44</c:f>
              <c:numCache>
                <c:formatCode>0.00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01-4670-BB95-F4AD481A1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584896"/>
        <c:axId val="913583912"/>
        <c:extLst/>
      </c:lineChart>
      <c:catAx>
        <c:axId val="913584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Scenario NBNL RFG CVD version 2.0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3583912"/>
        <c:crosses val="autoZero"/>
        <c:auto val="1"/>
        <c:lblAlgn val="ctr"/>
        <c:lblOffset val="100"/>
        <c:noMultiLvlLbl val="0"/>
      </c:catAx>
      <c:valAx>
        <c:axId val="913583912"/>
        <c:scaling>
          <c:orientation val="minMax"/>
          <c:max val="1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Grid voltage, Active power PGM, Apparent power unit, Current unit (per unit)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358489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78874318070466"/>
          <c:w val="1"/>
          <c:h val="0.103916318434531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'LF minimum input'!$C$11</c:f>
          <c:strCache>
            <c:ptCount val="1"/>
            <c:pt idx="0">
              <c:v>wind turbine or PV-inverter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0692542049607143"/>
          <c:y val="7.7003848396127381E-2"/>
          <c:w val="0.85515594714647802"/>
          <c:h val="0.70329018221943151"/>
        </c:manualLayout>
      </c:layout>
      <c:lineChart>
        <c:grouping val="standard"/>
        <c:varyColors val="0"/>
        <c:ser>
          <c:idx val="0"/>
          <c:order val="0"/>
          <c:tx>
            <c:strRef>
              <c:f>'LF minimum input'!$H$18</c:f>
              <c:strCache>
                <c:ptCount val="1"/>
                <c:pt idx="0">
                  <c:v>Maximum voltage limit unit (p.u.)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'Review unit type 3'!$B$38:$Q$38</c:f>
              <c:strCache>
                <c:ptCount val="16"/>
                <c:pt idx="0">
                  <c:v>P (Qc=0)</c:v>
                </c:pt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  <c:pt idx="6">
                  <c:v>C6</c:v>
                </c:pt>
                <c:pt idx="7">
                  <c:v>C7</c:v>
                </c:pt>
                <c:pt idx="8">
                  <c:v>C8</c:v>
                </c:pt>
                <c:pt idx="9">
                  <c:v>C9</c:v>
                </c:pt>
                <c:pt idx="10">
                  <c:v>C10</c:v>
                </c:pt>
                <c:pt idx="11">
                  <c:v>C11</c:v>
                </c:pt>
                <c:pt idx="12">
                  <c:v>C12</c:v>
                </c:pt>
                <c:pt idx="13">
                  <c:v>C13</c:v>
                </c:pt>
                <c:pt idx="14">
                  <c:v>P3</c:v>
                </c:pt>
                <c:pt idx="15">
                  <c:v>P4</c:v>
                </c:pt>
              </c:strCache>
            </c:strRef>
          </c:cat>
          <c:val>
            <c:numRef>
              <c:f>'LF minimum input'!$I$40:$X$40</c:f>
              <c:numCache>
                <c:formatCode>0.00</c:formatCode>
                <c:ptCount val="16"/>
                <c:pt idx="0">
                  <c:v>1.1000000000000001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1.1000000000000001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1.1000000000000001</c:v>
                </c:pt>
                <c:pt idx="13">
                  <c:v>1.1000000000000001</c:v>
                </c:pt>
                <c:pt idx="14">
                  <c:v>1.1000000000000001</c:v>
                </c:pt>
                <c:pt idx="15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B8-4E8B-8E48-6CED0587D2DF}"/>
            </c:ext>
          </c:extLst>
        </c:ser>
        <c:ser>
          <c:idx val="4"/>
          <c:order val="1"/>
          <c:tx>
            <c:strRef>
              <c:f>'Review unit type 3'!$A$42</c:f>
              <c:strCache>
                <c:ptCount val="1"/>
                <c:pt idx="0">
                  <c:v>Minimum voltage unit (p.u.)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'Review unit type 3'!$B$38:$Q$38</c:f>
              <c:strCache>
                <c:ptCount val="16"/>
                <c:pt idx="0">
                  <c:v>P (Qc=0)</c:v>
                </c:pt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  <c:pt idx="6">
                  <c:v>C6</c:v>
                </c:pt>
                <c:pt idx="7">
                  <c:v>C7</c:v>
                </c:pt>
                <c:pt idx="8">
                  <c:v>C8</c:v>
                </c:pt>
                <c:pt idx="9">
                  <c:v>C9</c:v>
                </c:pt>
                <c:pt idx="10">
                  <c:v>C10</c:v>
                </c:pt>
                <c:pt idx="11">
                  <c:v>C11</c:v>
                </c:pt>
                <c:pt idx="12">
                  <c:v>C12</c:v>
                </c:pt>
                <c:pt idx="13">
                  <c:v>C13</c:v>
                </c:pt>
                <c:pt idx="14">
                  <c:v>P3</c:v>
                </c:pt>
                <c:pt idx="15">
                  <c:v>P4</c:v>
                </c:pt>
              </c:strCache>
            </c:strRef>
          </c:cat>
          <c:val>
            <c:numRef>
              <c:f>'Review unit type 3'!$B$42:$Q$42</c:f>
              <c:numCache>
                <c:formatCode>0.00</c:formatCode>
                <c:ptCount val="16"/>
                <c:pt idx="0">
                  <c:v>0.98699999999999999</c:v>
                </c:pt>
                <c:pt idx="1">
                  <c:v>0.96799999999999997</c:v>
                </c:pt>
                <c:pt idx="2">
                  <c:v>1.004</c:v>
                </c:pt>
                <c:pt idx="3">
                  <c:v>0.96</c:v>
                </c:pt>
                <c:pt idx="4">
                  <c:v>0.997</c:v>
                </c:pt>
                <c:pt idx="5">
                  <c:v>0.97699999999999998</c:v>
                </c:pt>
                <c:pt idx="6">
                  <c:v>1.0660000000000001</c:v>
                </c:pt>
                <c:pt idx="7">
                  <c:v>1.083</c:v>
                </c:pt>
                <c:pt idx="8">
                  <c:v>1.052</c:v>
                </c:pt>
                <c:pt idx="9">
                  <c:v>0.95599999999999996</c:v>
                </c:pt>
                <c:pt idx="10">
                  <c:v>0.90100000000000013</c:v>
                </c:pt>
                <c:pt idx="11">
                  <c:v>0.88900000000000001</c:v>
                </c:pt>
                <c:pt idx="12">
                  <c:v>0.91900000000000004</c:v>
                </c:pt>
                <c:pt idx="13">
                  <c:v>0.86</c:v>
                </c:pt>
                <c:pt idx="14">
                  <c:v>0.96750000000000003</c:v>
                </c:pt>
                <c:pt idx="15">
                  <c:v>1.0037499999999999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B8-4E8B-8E48-6CED0587D2DF}"/>
            </c:ext>
          </c:extLst>
        </c:ser>
        <c:ser>
          <c:idx val="1"/>
          <c:order val="2"/>
          <c:tx>
            <c:strRef>
              <c:f>'LF minimum input'!$H$19</c:f>
              <c:strCache>
                <c:ptCount val="1"/>
                <c:pt idx="0">
                  <c:v>Minimum voltage limit unit (p.u.)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'Review unit type 3'!$B$38:$Q$38</c:f>
              <c:strCache>
                <c:ptCount val="16"/>
                <c:pt idx="0">
                  <c:v>P (Qc=0)</c:v>
                </c:pt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  <c:pt idx="6">
                  <c:v>C6</c:v>
                </c:pt>
                <c:pt idx="7">
                  <c:v>C7</c:v>
                </c:pt>
                <c:pt idx="8">
                  <c:v>C8</c:v>
                </c:pt>
                <c:pt idx="9">
                  <c:v>C9</c:v>
                </c:pt>
                <c:pt idx="10">
                  <c:v>C10</c:v>
                </c:pt>
                <c:pt idx="11">
                  <c:v>C11</c:v>
                </c:pt>
                <c:pt idx="12">
                  <c:v>C12</c:v>
                </c:pt>
                <c:pt idx="13">
                  <c:v>C13</c:v>
                </c:pt>
                <c:pt idx="14">
                  <c:v>P3</c:v>
                </c:pt>
                <c:pt idx="15">
                  <c:v>P4</c:v>
                </c:pt>
              </c:strCache>
            </c:strRef>
          </c:cat>
          <c:val>
            <c:numRef>
              <c:f>'LF minimum input'!$I$41:$X$41</c:f>
              <c:numCache>
                <c:formatCode>0.00</c:formatCode>
                <c:ptCount val="16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0.85</c:v>
                </c:pt>
                <c:pt idx="9">
                  <c:v>0.85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B8-4E8B-8E48-6CED0587D2DF}"/>
            </c:ext>
          </c:extLst>
        </c:ser>
        <c:ser>
          <c:idx val="3"/>
          <c:order val="3"/>
          <c:tx>
            <c:strRef>
              <c:f>'Review unit type 3'!$A$41</c:f>
              <c:strCache>
                <c:ptCount val="1"/>
                <c:pt idx="0">
                  <c:v>Maximum voltage unit (p.u.)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'Review unit type 3'!$B$38:$Q$38</c:f>
              <c:strCache>
                <c:ptCount val="16"/>
                <c:pt idx="0">
                  <c:v>P (Qc=0)</c:v>
                </c:pt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  <c:pt idx="6">
                  <c:v>C6</c:v>
                </c:pt>
                <c:pt idx="7">
                  <c:v>C7</c:v>
                </c:pt>
                <c:pt idx="8">
                  <c:v>C8</c:v>
                </c:pt>
                <c:pt idx="9">
                  <c:v>C9</c:v>
                </c:pt>
                <c:pt idx="10">
                  <c:v>C10</c:v>
                </c:pt>
                <c:pt idx="11">
                  <c:v>C11</c:v>
                </c:pt>
                <c:pt idx="12">
                  <c:v>C12</c:v>
                </c:pt>
                <c:pt idx="13">
                  <c:v>C13</c:v>
                </c:pt>
                <c:pt idx="14">
                  <c:v>P3</c:v>
                </c:pt>
                <c:pt idx="15">
                  <c:v>P4</c:v>
                </c:pt>
              </c:strCache>
            </c:strRef>
          </c:cat>
          <c:val>
            <c:numRef>
              <c:f>'Review unit type 3'!$B$41:$Q$41</c:f>
              <c:numCache>
                <c:formatCode>0.00</c:formatCode>
                <c:ptCount val="16"/>
                <c:pt idx="0">
                  <c:v>0.998</c:v>
                </c:pt>
                <c:pt idx="1">
                  <c:v>0.97799999999999998</c:v>
                </c:pt>
                <c:pt idx="2">
                  <c:v>1.018</c:v>
                </c:pt>
                <c:pt idx="3">
                  <c:v>0.96099999999999997</c:v>
                </c:pt>
                <c:pt idx="4">
                  <c:v>1.0009999999999999</c:v>
                </c:pt>
                <c:pt idx="5">
                  <c:v>0.97699999999999998</c:v>
                </c:pt>
                <c:pt idx="6">
                  <c:v>1.075</c:v>
                </c:pt>
                <c:pt idx="7">
                  <c:v>1.093</c:v>
                </c:pt>
                <c:pt idx="8">
                  <c:v>1.0649999999999999</c:v>
                </c:pt>
                <c:pt idx="9">
                  <c:v>0.97</c:v>
                </c:pt>
                <c:pt idx="10">
                  <c:v>0.91400000000000003</c:v>
                </c:pt>
                <c:pt idx="11">
                  <c:v>0.90200000000000002</c:v>
                </c:pt>
                <c:pt idx="12">
                  <c:v>0.92800000000000016</c:v>
                </c:pt>
                <c:pt idx="13">
                  <c:v>0.873</c:v>
                </c:pt>
                <c:pt idx="14">
                  <c:v>0.97750000000000004</c:v>
                </c:pt>
                <c:pt idx="15">
                  <c:v>1.0175000000000001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B8-4E8B-8E48-6CED0587D2DF}"/>
            </c:ext>
          </c:extLst>
        </c:ser>
        <c:ser>
          <c:idx val="5"/>
          <c:order val="4"/>
          <c:tx>
            <c:strRef>
              <c:f>'Review unit type 3'!$A$39</c:f>
              <c:strCache>
                <c:ptCount val="1"/>
                <c:pt idx="0">
                  <c:v>Uc grid voltage (p.u.)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38100">
                <a:solidFill>
                  <a:srgbClr val="0070C0"/>
                </a:solidFill>
                <a:prstDash val="dash"/>
              </a:ln>
              <a:effectLst/>
            </c:spPr>
          </c:marker>
          <c:cat>
            <c:strRef>
              <c:f>'Review unit type 3'!$B$38:$Q$38</c:f>
              <c:strCache>
                <c:ptCount val="16"/>
                <c:pt idx="0">
                  <c:v>P (Qc=0)</c:v>
                </c:pt>
                <c:pt idx="1">
                  <c:v>C1</c:v>
                </c:pt>
                <c:pt idx="2">
                  <c:v>C2</c:v>
                </c:pt>
                <c:pt idx="3">
                  <c:v>C3</c:v>
                </c:pt>
                <c:pt idx="4">
                  <c:v>C4</c:v>
                </c:pt>
                <c:pt idx="5">
                  <c:v>C5</c:v>
                </c:pt>
                <c:pt idx="6">
                  <c:v>C6</c:v>
                </c:pt>
                <c:pt idx="7">
                  <c:v>C7</c:v>
                </c:pt>
                <c:pt idx="8">
                  <c:v>C8</c:v>
                </c:pt>
                <c:pt idx="9">
                  <c:v>C9</c:v>
                </c:pt>
                <c:pt idx="10">
                  <c:v>C10</c:v>
                </c:pt>
                <c:pt idx="11">
                  <c:v>C11</c:v>
                </c:pt>
                <c:pt idx="12">
                  <c:v>C12</c:v>
                </c:pt>
                <c:pt idx="13">
                  <c:v>C13</c:v>
                </c:pt>
                <c:pt idx="14">
                  <c:v>P3</c:v>
                </c:pt>
                <c:pt idx="15">
                  <c:v>P4</c:v>
                </c:pt>
              </c:strCache>
            </c:strRef>
          </c:cat>
          <c:val>
            <c:numRef>
              <c:f>'Review unit type 3'!$B$39:$Q$39</c:f>
              <c:numCache>
                <c:formatCode>0.00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1.05</c:v>
                </c:pt>
                <c:pt idx="9">
                  <c:v>0.95</c:v>
                </c:pt>
                <c:pt idx="10">
                  <c:v>0.95</c:v>
                </c:pt>
                <c:pt idx="11">
                  <c:v>0.9</c:v>
                </c:pt>
                <c:pt idx="12">
                  <c:v>0.9</c:v>
                </c:pt>
                <c:pt idx="13">
                  <c:v>0.85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4EB8-4E8B-8E48-6CED0587D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3584896"/>
        <c:axId val="913583912"/>
        <c:extLst/>
      </c:lineChart>
      <c:catAx>
        <c:axId val="913584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Scenario NBNL RFG CVD version 2.0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3583912"/>
        <c:crosses val="autoZero"/>
        <c:auto val="1"/>
        <c:lblAlgn val="ctr"/>
        <c:lblOffset val="100"/>
        <c:noMultiLvlLbl val="0"/>
      </c:catAx>
      <c:valAx>
        <c:axId val="913583912"/>
        <c:scaling>
          <c:orientation val="minMax"/>
          <c:max val="1.2"/>
          <c:min val="0.8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Grid voltage, maximum and minimum voltage unit and limits (per unit)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358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75233089161441E-2"/>
          <c:y val="0.88757957717812042"/>
          <c:w val="0.96572355706340551"/>
          <c:h val="0.100184264975443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52916</xdr:colOff>
      <xdr:row>22</xdr:row>
      <xdr:rowOff>42334</xdr:rowOff>
    </xdr:from>
    <xdr:to>
      <xdr:col>3</xdr:col>
      <xdr:colOff>42333</xdr:colOff>
      <xdr:row>25</xdr:row>
      <xdr:rowOff>166904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416" y="4328584"/>
          <a:ext cx="4180417" cy="706654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1</xdr:col>
      <xdr:colOff>10585</xdr:colOff>
      <xdr:row>44</xdr:row>
      <xdr:rowOff>74086</xdr:rowOff>
    </xdr:from>
    <xdr:to>
      <xdr:col>2</xdr:col>
      <xdr:colOff>3016250</xdr:colOff>
      <xdr:row>47</xdr:row>
      <xdr:rowOff>79995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1085" y="8636003"/>
          <a:ext cx="3809998" cy="5879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189035</xdr:rowOff>
    </xdr:from>
    <xdr:to>
      <xdr:col>5</xdr:col>
      <xdr:colOff>342451</xdr:colOff>
      <xdr:row>44</xdr:row>
      <xdr:rowOff>116417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57368"/>
          <a:ext cx="5708201" cy="3610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167640</xdr:colOff>
          <xdr:row>56</xdr:row>
          <xdr:rowOff>45720</xdr:rowOff>
        </xdr:from>
        <xdr:to>
          <xdr:col>6</xdr:col>
          <xdr:colOff>15240</xdr:colOff>
          <xdr:row>100</xdr:row>
          <xdr:rowOff>76200</xdr:rowOff>
        </xdr:to>
        <xdr:sp macro="" textlink="">
          <xdr:nvSpPr>
            <xdr:cNvPr id="19484" name="Object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00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83343" y="11907"/>
    <xdr:ext cx="8310563" cy="6673994"/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8595231" y="89840"/>
    <xdr:ext cx="5858956" cy="6664252"/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</xdr:colOff>
      <xdr:row>1</xdr:row>
      <xdr:rowOff>91440</xdr:rowOff>
    </xdr:from>
    <xdr:to>
      <xdr:col>11</xdr:col>
      <xdr:colOff>464820</xdr:colOff>
      <xdr:row>35</xdr:row>
      <xdr:rowOff>173355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36195</xdr:colOff>
      <xdr:row>1</xdr:row>
      <xdr:rowOff>72390</xdr:rowOff>
    </xdr:from>
    <xdr:to>
      <xdr:col>23</xdr:col>
      <xdr:colOff>436245</xdr:colOff>
      <xdr:row>35</xdr:row>
      <xdr:rowOff>154305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</xdr:colOff>
      <xdr:row>1</xdr:row>
      <xdr:rowOff>91440</xdr:rowOff>
    </xdr:from>
    <xdr:to>
      <xdr:col>11</xdr:col>
      <xdr:colOff>464820</xdr:colOff>
      <xdr:row>35</xdr:row>
      <xdr:rowOff>173355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36195</xdr:colOff>
      <xdr:row>1</xdr:row>
      <xdr:rowOff>72390</xdr:rowOff>
    </xdr:from>
    <xdr:to>
      <xdr:col>23</xdr:col>
      <xdr:colOff>436245</xdr:colOff>
      <xdr:row>35</xdr:row>
      <xdr:rowOff>154305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</xdr:colOff>
      <xdr:row>1</xdr:row>
      <xdr:rowOff>91440</xdr:rowOff>
    </xdr:from>
    <xdr:to>
      <xdr:col>11</xdr:col>
      <xdr:colOff>464820</xdr:colOff>
      <xdr:row>35</xdr:row>
      <xdr:rowOff>173355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36195</xdr:colOff>
      <xdr:row>1</xdr:row>
      <xdr:rowOff>72390</xdr:rowOff>
    </xdr:from>
    <xdr:to>
      <xdr:col>23</xdr:col>
      <xdr:colOff>436245</xdr:colOff>
      <xdr:row>35</xdr:row>
      <xdr:rowOff>154305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tbeheernederland.nl/requirements-generators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36CA0-B99C-4EF8-81B9-5E61266041AA}">
  <dimension ref="A1:X103"/>
  <sheetViews>
    <sheetView tabSelected="1" zoomScale="70" zoomScaleNormal="70" workbookViewId="0">
      <selection activeCell="G5" sqref="G5"/>
    </sheetView>
  </sheetViews>
  <sheetFormatPr defaultRowHeight="14.4" x14ac:dyDescent="0.3"/>
  <cols>
    <col min="1" max="1" width="2.88671875" style="8" customWidth="1"/>
    <col min="2" max="2" width="12" style="11" customWidth="1"/>
    <col min="3" max="3" width="50.6640625" style="12" customWidth="1"/>
    <col min="4" max="4" width="9.33203125" style="9" customWidth="1"/>
    <col min="5" max="6" width="8.33203125" style="9" customWidth="1"/>
    <col min="7" max="7" width="5.6640625" style="2" customWidth="1"/>
    <col min="8" max="8" width="44.5546875" style="4" customWidth="1"/>
    <col min="9" max="9" width="10.6640625" style="6" customWidth="1"/>
    <col min="10" max="18" width="7.6640625" style="6" customWidth="1"/>
    <col min="19" max="19" width="6" style="6" customWidth="1"/>
    <col min="20" max="24" width="7.6640625" style="6" customWidth="1"/>
  </cols>
  <sheetData>
    <row r="1" spans="1:24" ht="15.6" customHeight="1" thickTop="1" thickBot="1" x14ac:dyDescent="0.35">
      <c r="A1" s="1"/>
      <c r="B1" s="230" t="s">
        <v>85</v>
      </c>
      <c r="C1" s="231"/>
      <c r="D1" s="232"/>
      <c r="H1" s="30" t="s">
        <v>20</v>
      </c>
      <c r="I1" s="152" t="s">
        <v>57</v>
      </c>
      <c r="J1" s="239" t="s">
        <v>59</v>
      </c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1"/>
      <c r="W1" s="150" t="s">
        <v>58</v>
      </c>
      <c r="X1" s="151"/>
    </row>
    <row r="2" spans="1:24" ht="15.6" customHeight="1" thickTop="1" thickBot="1" x14ac:dyDescent="0.35">
      <c r="A2" s="3"/>
      <c r="B2" s="233"/>
      <c r="C2" s="234"/>
      <c r="D2" s="235"/>
      <c r="H2" s="31" t="s">
        <v>3</v>
      </c>
      <c r="I2" s="153" t="s">
        <v>32</v>
      </c>
      <c r="J2" s="167">
        <v>1</v>
      </c>
      <c r="K2" s="28">
        <v>2</v>
      </c>
      <c r="L2" s="28">
        <v>3</v>
      </c>
      <c r="M2" s="124">
        <v>4</v>
      </c>
      <c r="N2" s="28">
        <v>5</v>
      </c>
      <c r="O2" s="28">
        <v>6</v>
      </c>
      <c r="P2" s="28">
        <v>7</v>
      </c>
      <c r="Q2" s="28">
        <v>8</v>
      </c>
      <c r="R2" s="28">
        <v>9</v>
      </c>
      <c r="S2" s="28">
        <v>10</v>
      </c>
      <c r="T2" s="28">
        <v>11</v>
      </c>
      <c r="U2" s="28">
        <v>12</v>
      </c>
      <c r="V2" s="168">
        <v>13</v>
      </c>
      <c r="W2" s="203" t="s">
        <v>62</v>
      </c>
      <c r="X2" s="204" t="s">
        <v>63</v>
      </c>
    </row>
    <row r="3" spans="1:24" ht="15.6" customHeight="1" thickTop="1" thickBot="1" x14ac:dyDescent="0.35">
      <c r="A3" s="3"/>
      <c r="B3" s="236"/>
      <c r="C3" s="237"/>
      <c r="D3" s="238"/>
      <c r="G3" s="5"/>
      <c r="H3" s="31" t="s">
        <v>21</v>
      </c>
      <c r="I3" s="154">
        <v>1</v>
      </c>
      <c r="J3" s="169">
        <v>1</v>
      </c>
      <c r="K3" s="24">
        <v>1</v>
      </c>
      <c r="L3" s="24">
        <v>1</v>
      </c>
      <c r="M3" s="24">
        <v>1</v>
      </c>
      <c r="N3" s="24">
        <v>1</v>
      </c>
      <c r="O3" s="24">
        <v>1.1000000000000001</v>
      </c>
      <c r="P3" s="24">
        <v>1.1000000000000001</v>
      </c>
      <c r="Q3" s="24">
        <v>1.05</v>
      </c>
      <c r="R3" s="24">
        <v>0.95</v>
      </c>
      <c r="S3" s="24">
        <v>0.95</v>
      </c>
      <c r="T3" s="24">
        <v>0.9</v>
      </c>
      <c r="U3" s="24">
        <v>0.9</v>
      </c>
      <c r="V3" s="170">
        <v>0.85</v>
      </c>
      <c r="W3" s="173">
        <v>1</v>
      </c>
      <c r="X3" s="29">
        <v>1</v>
      </c>
    </row>
    <row r="4" spans="1:24" x14ac:dyDescent="0.3">
      <c r="A4" s="3"/>
      <c r="H4" s="31" t="s">
        <v>22</v>
      </c>
      <c r="I4" s="155">
        <v>10.013</v>
      </c>
      <c r="J4" s="171">
        <v>9.9309999999999992</v>
      </c>
      <c r="K4" s="205">
        <v>9.8520000000000003</v>
      </c>
      <c r="L4" s="205">
        <v>2</v>
      </c>
      <c r="M4" s="205">
        <v>2</v>
      </c>
      <c r="N4" s="205">
        <v>-7.0000000000000001E-3</v>
      </c>
      <c r="O4" s="205">
        <v>9.9730000000000008</v>
      </c>
      <c r="P4" s="205">
        <v>9.984</v>
      </c>
      <c r="Q4" s="205">
        <v>9.8640000000000008</v>
      </c>
      <c r="R4" s="205">
        <v>9.3520000000000003</v>
      </c>
      <c r="S4" s="205">
        <v>9.1530000000000005</v>
      </c>
      <c r="T4" s="205">
        <v>9.3539999999999992</v>
      </c>
      <c r="U4" s="205">
        <v>9.3520000000000003</v>
      </c>
      <c r="V4" s="172">
        <v>8.3040000000000003</v>
      </c>
      <c r="W4" s="171">
        <v>4.96</v>
      </c>
      <c r="X4" s="142">
        <v>4.92</v>
      </c>
    </row>
    <row r="5" spans="1:24" x14ac:dyDescent="0.3">
      <c r="A5" s="7"/>
      <c r="B5" s="42" t="s">
        <v>4</v>
      </c>
      <c r="C5" s="256" t="s">
        <v>54</v>
      </c>
      <c r="D5" s="256"/>
      <c r="E5" s="256"/>
      <c r="F5" s="12"/>
      <c r="G5" s="5"/>
      <c r="H5" s="32" t="s">
        <v>23</v>
      </c>
      <c r="I5" s="155">
        <v>-2E-3</v>
      </c>
      <c r="J5" s="171">
        <v>-3.2949999999999999</v>
      </c>
      <c r="K5" s="205">
        <v>3.3130000000000002</v>
      </c>
      <c r="L5" s="205">
        <v>-3.29</v>
      </c>
      <c r="M5" s="205">
        <v>3.3090000000000002</v>
      </c>
      <c r="N5" s="205">
        <v>-2E-3</v>
      </c>
      <c r="O5" s="205">
        <v>-3.34</v>
      </c>
      <c r="P5" s="205">
        <v>2E-3</v>
      </c>
      <c r="Q5" s="205">
        <v>3.32</v>
      </c>
      <c r="R5" s="205">
        <v>3.3079999999999998</v>
      </c>
      <c r="S5" s="205">
        <v>-3.31</v>
      </c>
      <c r="T5" s="205">
        <v>2.5</v>
      </c>
      <c r="U5" s="205">
        <v>0</v>
      </c>
      <c r="V5" s="172">
        <v>3.11</v>
      </c>
      <c r="W5" s="171">
        <v>-3.3</v>
      </c>
      <c r="X5" s="142">
        <v>3.31</v>
      </c>
    </row>
    <row r="6" spans="1:24" x14ac:dyDescent="0.3">
      <c r="A6" s="3"/>
      <c r="B6" s="260" t="s">
        <v>5</v>
      </c>
      <c r="C6" s="43" t="s">
        <v>10</v>
      </c>
      <c r="D6" s="257">
        <v>10.5</v>
      </c>
      <c r="E6" s="257"/>
      <c r="F6" s="64"/>
      <c r="H6" s="31" t="s">
        <v>24</v>
      </c>
      <c r="I6" s="156">
        <f t="shared" ref="I6:U7" si="0">I4/$I$4</f>
        <v>1</v>
      </c>
      <c r="J6" s="173">
        <f t="shared" ref="J6:N7" si="1">J4/$I$4</f>
        <v>0.99181064615999193</v>
      </c>
      <c r="K6" s="206">
        <f t="shared" si="1"/>
        <v>0.98392090282632583</v>
      </c>
      <c r="L6" s="206">
        <f t="shared" si="1"/>
        <v>0.19974033756117049</v>
      </c>
      <c r="M6" s="206">
        <f t="shared" si="1"/>
        <v>0.19974033756117049</v>
      </c>
      <c r="N6" s="206">
        <f t="shared" si="1"/>
        <v>-6.9909118146409667E-4</v>
      </c>
      <c r="O6" s="206">
        <f t="shared" si="0"/>
        <v>0.99600519324877668</v>
      </c>
      <c r="P6" s="206">
        <f t="shared" si="0"/>
        <v>0.99710376510536303</v>
      </c>
      <c r="Q6" s="206">
        <f t="shared" si="0"/>
        <v>0.98511934485169284</v>
      </c>
      <c r="R6" s="206">
        <f t="shared" si="0"/>
        <v>0.93398581843603323</v>
      </c>
      <c r="S6" s="206">
        <f t="shared" si="0"/>
        <v>0.91411165484869672</v>
      </c>
      <c r="T6" s="206">
        <f t="shared" si="0"/>
        <v>0.93418555877359422</v>
      </c>
      <c r="U6" s="206">
        <f t="shared" si="0"/>
        <v>0.93398581843603323</v>
      </c>
      <c r="V6" s="174">
        <f>V4/$I$4</f>
        <v>0.8293218815539799</v>
      </c>
      <c r="W6" s="173">
        <f t="shared" ref="W6:X6" si="2">W4/$I$4</f>
        <v>0.49535603715170279</v>
      </c>
      <c r="X6" s="29">
        <f t="shared" si="2"/>
        <v>0.49136123040047935</v>
      </c>
    </row>
    <row r="7" spans="1:24" x14ac:dyDescent="0.3">
      <c r="A7" s="3"/>
      <c r="B7" s="261"/>
      <c r="C7" s="126" t="s">
        <v>34</v>
      </c>
      <c r="D7" s="258">
        <f>I4</f>
        <v>10.013</v>
      </c>
      <c r="E7" s="259"/>
      <c r="F7" s="65"/>
      <c r="H7" s="31" t="s">
        <v>25</v>
      </c>
      <c r="I7" s="156">
        <f t="shared" si="0"/>
        <v>-1.9974033756117049E-4</v>
      </c>
      <c r="J7" s="173">
        <f t="shared" si="1"/>
        <v>-0.32907220613202837</v>
      </c>
      <c r="K7" s="206">
        <f t="shared" si="1"/>
        <v>0.33086986917007893</v>
      </c>
      <c r="L7" s="206">
        <f t="shared" si="1"/>
        <v>-0.32857285528812546</v>
      </c>
      <c r="M7" s="206">
        <f t="shared" si="1"/>
        <v>0.33047038849495658</v>
      </c>
      <c r="N7" s="206">
        <f t="shared" si="1"/>
        <v>-1.9974033756117049E-4</v>
      </c>
      <c r="O7" s="206">
        <f t="shared" si="0"/>
        <v>-0.3335663637271547</v>
      </c>
      <c r="P7" s="206">
        <f t="shared" si="0"/>
        <v>1.9974033756117049E-4</v>
      </c>
      <c r="Q7" s="206">
        <f t="shared" si="0"/>
        <v>0.33156896035154299</v>
      </c>
      <c r="R7" s="206">
        <f t="shared" si="0"/>
        <v>0.33037051832617598</v>
      </c>
      <c r="S7" s="206">
        <f t="shared" si="0"/>
        <v>-0.33057025866373713</v>
      </c>
      <c r="T7" s="206">
        <f t="shared" si="0"/>
        <v>0.24967542195146311</v>
      </c>
      <c r="U7" s="206">
        <f t="shared" si="0"/>
        <v>0</v>
      </c>
      <c r="V7" s="174">
        <f>V5/$I$4</f>
        <v>0.31059622490762007</v>
      </c>
      <c r="W7" s="206">
        <f t="shared" ref="W7:X7" si="3">W5/$I$4</f>
        <v>-0.32957155697593127</v>
      </c>
      <c r="X7" s="29">
        <f t="shared" si="3"/>
        <v>0.33057025866373713</v>
      </c>
    </row>
    <row r="8" spans="1:24" ht="15" thickBot="1" x14ac:dyDescent="0.35">
      <c r="A8" s="3"/>
      <c r="B8" s="262"/>
      <c r="C8" s="126" t="s">
        <v>53</v>
      </c>
      <c r="D8" s="219">
        <v>10</v>
      </c>
      <c r="E8" s="220"/>
      <c r="F8" s="66"/>
      <c r="H8" s="196" t="s">
        <v>26</v>
      </c>
      <c r="I8" s="197">
        <f t="shared" ref="I8:U8" si="4">SQRT(I4^2+I5^2)</f>
        <v>10.013000199740336</v>
      </c>
      <c r="J8" s="193">
        <f>SQRT(J4^2+J5^2)</f>
        <v>10.463354433450105</v>
      </c>
      <c r="K8" s="198">
        <f>SQRT(K4^2+K5^2)</f>
        <v>10.394126851255955</v>
      </c>
      <c r="L8" s="198">
        <f>SQRT(L4^2+L5^2)</f>
        <v>3.8502077866006141</v>
      </c>
      <c r="M8" s="198">
        <f>SQRT(M4^2+M5^2)</f>
        <v>3.866455870690884</v>
      </c>
      <c r="N8" s="198">
        <f>SQRT(N4^2+N5^2)</f>
        <v>7.2801098892805189E-3</v>
      </c>
      <c r="O8" s="198">
        <f t="shared" si="4"/>
        <v>10.517429771574422</v>
      </c>
      <c r="P8" s="198">
        <f t="shared" si="4"/>
        <v>9.9840002003205104</v>
      </c>
      <c r="Q8" s="198">
        <f t="shared" si="4"/>
        <v>10.40773251001389</v>
      </c>
      <c r="R8" s="198">
        <f t="shared" si="4"/>
        <v>9.9198169337946958</v>
      </c>
      <c r="S8" s="198">
        <f t="shared" si="4"/>
        <v>9.7331140443333961</v>
      </c>
      <c r="T8" s="198">
        <f t="shared" si="4"/>
        <v>9.6823197633624964</v>
      </c>
      <c r="U8" s="198">
        <f t="shared" si="4"/>
        <v>9.3520000000000003</v>
      </c>
      <c r="V8" s="199">
        <f>SQRT(V4^2+V5^2)</f>
        <v>8.8672721848379048</v>
      </c>
      <c r="W8" s="193">
        <f t="shared" ref="W8:X8" si="5">SQRT(W4^2+W5^2)</f>
        <v>5.9574826898615489</v>
      </c>
      <c r="X8" s="194">
        <f t="shared" si="5"/>
        <v>5.9297976356702087</v>
      </c>
    </row>
    <row r="9" spans="1:24" ht="15" thickBot="1" x14ac:dyDescent="0.35">
      <c r="A9" s="3"/>
      <c r="B9" s="42" t="s">
        <v>6</v>
      </c>
      <c r="C9" s="147" t="s">
        <v>55</v>
      </c>
      <c r="D9" s="146"/>
      <c r="E9" s="66"/>
      <c r="F9" s="66"/>
      <c r="H9" s="195" t="s">
        <v>27</v>
      </c>
      <c r="I9" s="164" t="str">
        <f t="shared" ref="I9:V9" si="6">I2</f>
        <v>P (Qc=0)</v>
      </c>
      <c r="J9" s="189">
        <f t="shared" si="6"/>
        <v>1</v>
      </c>
      <c r="K9" s="207">
        <f t="shared" si="6"/>
        <v>2</v>
      </c>
      <c r="L9" s="207">
        <f t="shared" si="6"/>
        <v>3</v>
      </c>
      <c r="M9" s="207">
        <f t="shared" si="6"/>
        <v>4</v>
      </c>
      <c r="N9" s="207">
        <f t="shared" si="6"/>
        <v>5</v>
      </c>
      <c r="O9" s="207">
        <f t="shared" si="6"/>
        <v>6</v>
      </c>
      <c r="P9" s="207">
        <f t="shared" si="6"/>
        <v>7</v>
      </c>
      <c r="Q9" s="207">
        <f t="shared" si="6"/>
        <v>8</v>
      </c>
      <c r="R9" s="207">
        <f t="shared" si="6"/>
        <v>9</v>
      </c>
      <c r="S9" s="207">
        <f t="shared" si="6"/>
        <v>10</v>
      </c>
      <c r="T9" s="207">
        <f t="shared" si="6"/>
        <v>11</v>
      </c>
      <c r="U9" s="207">
        <f t="shared" si="6"/>
        <v>12</v>
      </c>
      <c r="V9" s="190">
        <f t="shared" si="6"/>
        <v>13</v>
      </c>
      <c r="W9" s="189">
        <v>3</v>
      </c>
      <c r="X9" s="81">
        <v>4</v>
      </c>
    </row>
    <row r="10" spans="1:24" ht="15.6" thickTop="1" thickBot="1" x14ac:dyDescent="0.35">
      <c r="A10" s="3"/>
      <c r="B10" s="128" t="s">
        <v>7</v>
      </c>
      <c r="C10" s="148" t="s">
        <v>55</v>
      </c>
      <c r="D10" s="136"/>
      <c r="E10" s="133"/>
      <c r="F10" s="67"/>
      <c r="H10" s="63" t="s">
        <v>42</v>
      </c>
      <c r="I10" s="157">
        <v>203</v>
      </c>
      <c r="J10" s="175">
        <v>209</v>
      </c>
      <c r="K10" s="143">
        <v>215</v>
      </c>
      <c r="L10" s="143">
        <v>76</v>
      </c>
      <c r="M10" s="143">
        <v>79</v>
      </c>
      <c r="N10" s="143">
        <v>0</v>
      </c>
      <c r="O10" s="143">
        <v>210</v>
      </c>
      <c r="P10" s="143">
        <v>202</v>
      </c>
      <c r="Q10" s="143">
        <v>215</v>
      </c>
      <c r="R10" s="143">
        <v>206</v>
      </c>
      <c r="S10" s="143">
        <v>193</v>
      </c>
      <c r="T10" s="143">
        <v>190</v>
      </c>
      <c r="U10" s="143">
        <v>197</v>
      </c>
      <c r="V10" s="176">
        <v>185</v>
      </c>
      <c r="W10" s="143">
        <v>209</v>
      </c>
      <c r="X10" s="208">
        <v>215</v>
      </c>
    </row>
    <row r="11" spans="1:24" ht="15" thickTop="1" x14ac:dyDescent="0.3">
      <c r="A11" s="3"/>
      <c r="B11" s="129" t="s">
        <v>52</v>
      </c>
      <c r="C11" s="149" t="s">
        <v>55</v>
      </c>
      <c r="D11" s="136"/>
      <c r="E11" s="134"/>
      <c r="F11" s="68"/>
      <c r="H11" s="62" t="s">
        <v>43</v>
      </c>
      <c r="I11" s="158">
        <f>800*0.998</f>
        <v>798.4</v>
      </c>
      <c r="J11" s="177">
        <f>800*0.978</f>
        <v>782.4</v>
      </c>
      <c r="K11" s="209">
        <f>800*1.018</f>
        <v>814.4</v>
      </c>
      <c r="L11" s="209">
        <f>800*0.961</f>
        <v>768.8</v>
      </c>
      <c r="M11" s="209">
        <f>800*1.001</f>
        <v>800.8</v>
      </c>
      <c r="N11" s="209">
        <f>800*0.977</f>
        <v>781.6</v>
      </c>
      <c r="O11" s="209">
        <f>800*1.075</f>
        <v>860</v>
      </c>
      <c r="P11" s="209">
        <f>800*1.093</f>
        <v>874.4</v>
      </c>
      <c r="Q11" s="209">
        <f>800*1.065</f>
        <v>852</v>
      </c>
      <c r="R11" s="209">
        <f>800*0.97</f>
        <v>776</v>
      </c>
      <c r="S11" s="209">
        <f>800*0.914</f>
        <v>731.2</v>
      </c>
      <c r="T11" s="209">
        <f>800*0.902</f>
        <v>721.6</v>
      </c>
      <c r="U11" s="209">
        <f>800*0.928</f>
        <v>742.40000000000009</v>
      </c>
      <c r="V11" s="178">
        <f>800*0.873</f>
        <v>698.4</v>
      </c>
      <c r="W11" s="177">
        <v>782</v>
      </c>
      <c r="X11" s="144">
        <v>814</v>
      </c>
    </row>
    <row r="12" spans="1:24" x14ac:dyDescent="0.3">
      <c r="A12" s="3"/>
      <c r="B12" s="42"/>
      <c r="C12" s="127" t="s">
        <v>8</v>
      </c>
      <c r="D12" s="137">
        <v>1</v>
      </c>
      <c r="E12" s="135">
        <v>2</v>
      </c>
      <c r="F12" s="132">
        <v>3</v>
      </c>
      <c r="H12" s="62" t="s">
        <v>44</v>
      </c>
      <c r="I12" s="158">
        <f>800*0.987</f>
        <v>789.6</v>
      </c>
      <c r="J12" s="177">
        <f>800*0.968</f>
        <v>774.4</v>
      </c>
      <c r="K12" s="209">
        <f>800*1.004</f>
        <v>803.2</v>
      </c>
      <c r="L12" s="209">
        <f>800*0.96</f>
        <v>768</v>
      </c>
      <c r="M12" s="209">
        <f>800*0.997</f>
        <v>797.6</v>
      </c>
      <c r="N12" s="209">
        <f>800*0.977</f>
        <v>781.6</v>
      </c>
      <c r="O12" s="209">
        <f>800*1.066</f>
        <v>852.80000000000007</v>
      </c>
      <c r="P12" s="209">
        <f>800*1.083</f>
        <v>866.4</v>
      </c>
      <c r="Q12" s="209">
        <f>800*1.052</f>
        <v>841.6</v>
      </c>
      <c r="R12" s="209">
        <f>800*0.956</f>
        <v>764.8</v>
      </c>
      <c r="S12" s="209">
        <f>800*0.901</f>
        <v>720.80000000000007</v>
      </c>
      <c r="T12" s="209">
        <f>800*0.889</f>
        <v>711.2</v>
      </c>
      <c r="U12" s="209">
        <f>800*0.919</f>
        <v>735.2</v>
      </c>
      <c r="V12" s="178">
        <v>688</v>
      </c>
      <c r="W12" s="177">
        <v>774</v>
      </c>
      <c r="X12" s="144">
        <v>803</v>
      </c>
    </row>
    <row r="13" spans="1:24" x14ac:dyDescent="0.3">
      <c r="B13" s="26" t="s">
        <v>9</v>
      </c>
      <c r="C13" s="44" t="s">
        <v>11</v>
      </c>
      <c r="D13" s="138">
        <v>50</v>
      </c>
      <c r="E13" s="139">
        <v>50</v>
      </c>
      <c r="F13" s="141">
        <v>50</v>
      </c>
      <c r="H13" s="62" t="s">
        <v>45</v>
      </c>
      <c r="I13" s="159">
        <f t="shared" ref="I13:N13" si="7">1000*I10/(I12*SQRT(3))</f>
        <v>148.43225005761656</v>
      </c>
      <c r="J13" s="179">
        <f t="shared" si="7"/>
        <v>155.81896469606377</v>
      </c>
      <c r="K13" s="210">
        <f t="shared" si="7"/>
        <v>154.54470602062941</v>
      </c>
      <c r="L13" s="210">
        <f t="shared" si="7"/>
        <v>57.133620388556714</v>
      </c>
      <c r="M13" s="210">
        <f t="shared" si="7"/>
        <v>57.184893763766851</v>
      </c>
      <c r="N13" s="210">
        <f t="shared" si="7"/>
        <v>0</v>
      </c>
      <c r="O13" s="210">
        <f t="shared" ref="O13:X13" si="8">1000*O10/(O12*SQRT(3))</f>
        <v>142.17114977699509</v>
      </c>
      <c r="P13" s="210">
        <f t="shared" si="8"/>
        <v>134.6084422625859</v>
      </c>
      <c r="Q13" s="210">
        <f t="shared" si="8"/>
        <v>147.49323654440298</v>
      </c>
      <c r="R13" s="210">
        <f t="shared" si="8"/>
        <v>155.51014049825173</v>
      </c>
      <c r="S13" s="210">
        <f t="shared" si="8"/>
        <v>154.5901802907849</v>
      </c>
      <c r="T13" s="210">
        <f t="shared" si="8"/>
        <v>154.24149486224536</v>
      </c>
      <c r="U13" s="210">
        <f t="shared" si="8"/>
        <v>154.70348616751397</v>
      </c>
      <c r="V13" s="180">
        <f t="shared" si="8"/>
        <v>155.24680203500114</v>
      </c>
      <c r="W13" s="179">
        <f t="shared" si="8"/>
        <v>155.89949129280595</v>
      </c>
      <c r="X13" s="123">
        <f t="shared" si="8"/>
        <v>154.58319785276407</v>
      </c>
    </row>
    <row r="14" spans="1:24" x14ac:dyDescent="0.3">
      <c r="B14" s="26"/>
      <c r="C14" s="44" t="s">
        <v>13</v>
      </c>
      <c r="D14" s="140">
        <v>215</v>
      </c>
      <c r="E14" s="139">
        <v>215</v>
      </c>
      <c r="F14" s="141">
        <v>215</v>
      </c>
      <c r="H14" s="72" t="s">
        <v>46</v>
      </c>
      <c r="I14" s="160">
        <f t="shared" ref="I14:V14" si="9">IF($D$13=0,0,I10/$D$14)</f>
        <v>0.94418604651162785</v>
      </c>
      <c r="J14" s="181">
        <f t="shared" si="9"/>
        <v>0.97209302325581393</v>
      </c>
      <c r="K14" s="71">
        <f t="shared" si="9"/>
        <v>1</v>
      </c>
      <c r="L14" s="71">
        <f t="shared" si="9"/>
        <v>0.35348837209302325</v>
      </c>
      <c r="M14" s="71">
        <f t="shared" si="9"/>
        <v>0.36744186046511629</v>
      </c>
      <c r="N14" s="71">
        <f t="shared" si="9"/>
        <v>0</v>
      </c>
      <c r="O14" s="71">
        <f t="shared" si="9"/>
        <v>0.97674418604651159</v>
      </c>
      <c r="P14" s="71">
        <f t="shared" si="9"/>
        <v>0.93953488372093019</v>
      </c>
      <c r="Q14" s="71">
        <f t="shared" si="9"/>
        <v>1</v>
      </c>
      <c r="R14" s="71">
        <f t="shared" si="9"/>
        <v>0.95813953488372094</v>
      </c>
      <c r="S14" s="71">
        <f t="shared" si="9"/>
        <v>0.89767441860465114</v>
      </c>
      <c r="T14" s="71">
        <f t="shared" si="9"/>
        <v>0.88372093023255816</v>
      </c>
      <c r="U14" s="71">
        <f t="shared" si="9"/>
        <v>0.91627906976744189</v>
      </c>
      <c r="V14" s="182">
        <f t="shared" si="9"/>
        <v>0.86046511627906974</v>
      </c>
      <c r="W14" s="183">
        <f t="shared" ref="W14:X14" si="10">IF($D$13=0,0,W10/$D$14)</f>
        <v>0.97209302325581393</v>
      </c>
      <c r="X14" s="46">
        <f t="shared" si="10"/>
        <v>1</v>
      </c>
    </row>
    <row r="15" spans="1:24" x14ac:dyDescent="0.3">
      <c r="B15" s="26"/>
      <c r="C15" s="44" t="s">
        <v>12</v>
      </c>
      <c r="D15" s="140">
        <v>200</v>
      </c>
      <c r="E15" s="139">
        <v>200</v>
      </c>
      <c r="F15" s="141">
        <v>200</v>
      </c>
      <c r="G15" s="5"/>
      <c r="H15" s="62" t="s">
        <v>47</v>
      </c>
      <c r="I15" s="161">
        <f t="shared" ref="I15:V15" si="11">IF($D$13=0,0,I11/$D$18)</f>
        <v>0.998</v>
      </c>
      <c r="J15" s="183">
        <f t="shared" si="11"/>
        <v>0.97799999999999998</v>
      </c>
      <c r="K15" s="25">
        <f t="shared" si="11"/>
        <v>1.018</v>
      </c>
      <c r="L15" s="25">
        <f t="shared" si="11"/>
        <v>0.96099999999999997</v>
      </c>
      <c r="M15" s="25">
        <f t="shared" si="11"/>
        <v>1.0009999999999999</v>
      </c>
      <c r="N15" s="25">
        <f t="shared" si="11"/>
        <v>0.97699999999999998</v>
      </c>
      <c r="O15" s="25">
        <f t="shared" si="11"/>
        <v>1.075</v>
      </c>
      <c r="P15" s="25">
        <f t="shared" si="11"/>
        <v>1.093</v>
      </c>
      <c r="Q15" s="25">
        <f t="shared" si="11"/>
        <v>1.0649999999999999</v>
      </c>
      <c r="R15" s="25">
        <f t="shared" si="11"/>
        <v>0.97</v>
      </c>
      <c r="S15" s="25">
        <f t="shared" si="11"/>
        <v>0.91400000000000003</v>
      </c>
      <c r="T15" s="25">
        <f t="shared" si="11"/>
        <v>0.90200000000000002</v>
      </c>
      <c r="U15" s="25">
        <f t="shared" si="11"/>
        <v>0.92800000000000016</v>
      </c>
      <c r="V15" s="184">
        <f t="shared" si="11"/>
        <v>0.873</v>
      </c>
      <c r="W15" s="183">
        <f t="shared" ref="W15:X15" si="12">IF($D$13=0,0,W11/$D$18)</f>
        <v>0.97750000000000004</v>
      </c>
      <c r="X15" s="46">
        <f t="shared" si="12"/>
        <v>1.0175000000000001</v>
      </c>
    </row>
    <row r="16" spans="1:24" x14ac:dyDescent="0.3">
      <c r="B16" s="26"/>
      <c r="C16" s="44" t="s">
        <v>14</v>
      </c>
      <c r="D16" s="140">
        <v>100</v>
      </c>
      <c r="E16" s="139">
        <v>100</v>
      </c>
      <c r="F16" s="141">
        <v>100</v>
      </c>
      <c r="H16" s="62" t="s">
        <v>48</v>
      </c>
      <c r="I16" s="161">
        <f t="shared" ref="I16:V16" si="13">IF($D$13=0,0,I12/$D$18)</f>
        <v>0.98699999999999999</v>
      </c>
      <c r="J16" s="183">
        <f t="shared" si="13"/>
        <v>0.96799999999999997</v>
      </c>
      <c r="K16" s="25">
        <f t="shared" si="13"/>
        <v>1.004</v>
      </c>
      <c r="L16" s="25">
        <f t="shared" si="13"/>
        <v>0.96</v>
      </c>
      <c r="M16" s="25">
        <f t="shared" si="13"/>
        <v>0.997</v>
      </c>
      <c r="N16" s="25">
        <f t="shared" si="13"/>
        <v>0.97699999999999998</v>
      </c>
      <c r="O16" s="25">
        <f t="shared" si="13"/>
        <v>1.0660000000000001</v>
      </c>
      <c r="P16" s="25">
        <f t="shared" si="13"/>
        <v>1.083</v>
      </c>
      <c r="Q16" s="25">
        <f t="shared" si="13"/>
        <v>1.052</v>
      </c>
      <c r="R16" s="25">
        <f t="shared" si="13"/>
        <v>0.95599999999999996</v>
      </c>
      <c r="S16" s="25">
        <f t="shared" si="13"/>
        <v>0.90100000000000013</v>
      </c>
      <c r="T16" s="25">
        <f t="shared" si="13"/>
        <v>0.88900000000000001</v>
      </c>
      <c r="U16" s="25">
        <f t="shared" si="13"/>
        <v>0.91900000000000004</v>
      </c>
      <c r="V16" s="184">
        <f t="shared" si="13"/>
        <v>0.86</v>
      </c>
      <c r="W16" s="183">
        <f t="shared" ref="W16:X16" si="14">IF($D$13=0,0,W12/$D$18)</f>
        <v>0.96750000000000003</v>
      </c>
      <c r="X16" s="46">
        <f t="shared" si="14"/>
        <v>1.0037499999999999</v>
      </c>
    </row>
    <row r="17" spans="1:24" x14ac:dyDescent="0.3">
      <c r="B17" s="26"/>
      <c r="C17" s="44" t="s">
        <v>15</v>
      </c>
      <c r="D17" s="140">
        <v>-100</v>
      </c>
      <c r="E17" s="139">
        <v>-100</v>
      </c>
      <c r="F17" s="141">
        <v>-100</v>
      </c>
      <c r="H17" s="62" t="s">
        <v>49</v>
      </c>
      <c r="I17" s="161">
        <f t="shared" ref="I17:V17" si="15">IF($D$13=0,0,I13/$D$19)</f>
        <v>0.95639336377330264</v>
      </c>
      <c r="J17" s="183">
        <f t="shared" si="15"/>
        <v>1.0039881745880399</v>
      </c>
      <c r="K17" s="25">
        <f t="shared" si="15"/>
        <v>0.99577774497828231</v>
      </c>
      <c r="L17" s="25">
        <f t="shared" si="15"/>
        <v>0.36812899734894794</v>
      </c>
      <c r="M17" s="25">
        <f t="shared" si="15"/>
        <v>0.36845936703458027</v>
      </c>
      <c r="N17" s="25">
        <f t="shared" si="15"/>
        <v>0</v>
      </c>
      <c r="O17" s="25">
        <f t="shared" si="15"/>
        <v>0.91605122278991691</v>
      </c>
      <c r="P17" s="25">
        <f t="shared" si="15"/>
        <v>0.86732243725892977</v>
      </c>
      <c r="Q17" s="25">
        <f t="shared" si="15"/>
        <v>0.95034301897166873</v>
      </c>
      <c r="R17" s="25">
        <f t="shared" si="15"/>
        <v>1.001998327952653</v>
      </c>
      <c r="S17" s="25">
        <f t="shared" si="15"/>
        <v>0.99607074929629458</v>
      </c>
      <c r="T17" s="25">
        <f t="shared" si="15"/>
        <v>0.99382406483405528</v>
      </c>
      <c r="U17" s="25">
        <f t="shared" si="15"/>
        <v>0.99680081293501277</v>
      </c>
      <c r="V17" s="184">
        <f t="shared" si="15"/>
        <v>1.0003015595038733</v>
      </c>
      <c r="W17" s="183">
        <f t="shared" ref="W17:X17" si="16">IF($D$13=0,0,W13/$D$19)</f>
        <v>1.0045070315258116</v>
      </c>
      <c r="X17" s="46">
        <f t="shared" si="16"/>
        <v>0.99602575936059334</v>
      </c>
    </row>
    <row r="18" spans="1:24" x14ac:dyDescent="0.3">
      <c r="B18" s="26"/>
      <c r="C18" s="44" t="s">
        <v>16</v>
      </c>
      <c r="D18" s="140">
        <v>800</v>
      </c>
      <c r="E18" s="139">
        <v>800</v>
      </c>
      <c r="F18" s="141">
        <v>800</v>
      </c>
      <c r="H18" s="72" t="s">
        <v>50</v>
      </c>
      <c r="I18" s="162">
        <f>IF($D$13=0,0,$D$20/$D$18)</f>
        <v>1.1000000000000001</v>
      </c>
      <c r="J18" s="185">
        <f>$I$18</f>
        <v>1.1000000000000001</v>
      </c>
      <c r="K18" s="73">
        <f t="shared" ref="K18:X18" si="17">$I$18</f>
        <v>1.1000000000000001</v>
      </c>
      <c r="L18" s="73">
        <f t="shared" si="17"/>
        <v>1.1000000000000001</v>
      </c>
      <c r="M18" s="73">
        <f t="shared" si="17"/>
        <v>1.1000000000000001</v>
      </c>
      <c r="N18" s="73">
        <f t="shared" si="17"/>
        <v>1.1000000000000001</v>
      </c>
      <c r="O18" s="73">
        <f t="shared" si="17"/>
        <v>1.1000000000000001</v>
      </c>
      <c r="P18" s="73">
        <f t="shared" si="17"/>
        <v>1.1000000000000001</v>
      </c>
      <c r="Q18" s="73">
        <f t="shared" si="17"/>
        <v>1.1000000000000001</v>
      </c>
      <c r="R18" s="73">
        <f t="shared" si="17"/>
        <v>1.1000000000000001</v>
      </c>
      <c r="S18" s="73">
        <f t="shared" si="17"/>
        <v>1.1000000000000001</v>
      </c>
      <c r="T18" s="73">
        <f t="shared" si="17"/>
        <v>1.1000000000000001</v>
      </c>
      <c r="U18" s="73">
        <f t="shared" si="17"/>
        <v>1.1000000000000001</v>
      </c>
      <c r="V18" s="186">
        <f t="shared" si="17"/>
        <v>1.1000000000000001</v>
      </c>
      <c r="W18" s="173">
        <f t="shared" si="17"/>
        <v>1.1000000000000001</v>
      </c>
      <c r="X18" s="29">
        <f t="shared" si="17"/>
        <v>1.1000000000000001</v>
      </c>
    </row>
    <row r="19" spans="1:24" ht="15" thickBot="1" x14ac:dyDescent="0.35">
      <c r="B19" s="26"/>
      <c r="C19" s="44" t="s">
        <v>17</v>
      </c>
      <c r="D19" s="140">
        <v>155.19999999999999</v>
      </c>
      <c r="E19" s="139">
        <v>155.19999999999999</v>
      </c>
      <c r="F19" s="141">
        <v>155.19999999999999</v>
      </c>
      <c r="H19" s="200" t="s">
        <v>51</v>
      </c>
      <c r="I19" s="197">
        <f>IF($D$13=0,0,$D$21/$D$18)</f>
        <v>0.85</v>
      </c>
      <c r="J19" s="193">
        <f>$I$19</f>
        <v>0.85</v>
      </c>
      <c r="K19" s="198">
        <f t="shared" ref="K19:X19" si="18">$I$19</f>
        <v>0.85</v>
      </c>
      <c r="L19" s="198">
        <f t="shared" si="18"/>
        <v>0.85</v>
      </c>
      <c r="M19" s="198">
        <f t="shared" si="18"/>
        <v>0.85</v>
      </c>
      <c r="N19" s="198">
        <f t="shared" si="18"/>
        <v>0.85</v>
      </c>
      <c r="O19" s="198">
        <f t="shared" si="18"/>
        <v>0.85</v>
      </c>
      <c r="P19" s="198">
        <f t="shared" si="18"/>
        <v>0.85</v>
      </c>
      <c r="Q19" s="198">
        <f t="shared" si="18"/>
        <v>0.85</v>
      </c>
      <c r="R19" s="198">
        <f t="shared" si="18"/>
        <v>0.85</v>
      </c>
      <c r="S19" s="198">
        <f t="shared" si="18"/>
        <v>0.85</v>
      </c>
      <c r="T19" s="198">
        <f t="shared" si="18"/>
        <v>0.85</v>
      </c>
      <c r="U19" s="198">
        <f t="shared" si="18"/>
        <v>0.85</v>
      </c>
      <c r="V19" s="199">
        <f t="shared" si="18"/>
        <v>0.85</v>
      </c>
      <c r="W19" s="193">
        <f t="shared" si="18"/>
        <v>0.85</v>
      </c>
      <c r="X19" s="194">
        <f t="shared" si="18"/>
        <v>0.85</v>
      </c>
    </row>
    <row r="20" spans="1:24" x14ac:dyDescent="0.3">
      <c r="A20" s="3"/>
      <c r="B20" s="26"/>
      <c r="C20" s="44" t="s">
        <v>18</v>
      </c>
      <c r="D20" s="140">
        <f>800*1.1</f>
        <v>880.00000000000011</v>
      </c>
      <c r="E20" s="139">
        <v>880.00000000000011</v>
      </c>
      <c r="F20" s="141">
        <v>880.00000000000011</v>
      </c>
      <c r="H20" s="33" t="s">
        <v>28</v>
      </c>
      <c r="I20" s="164" t="str">
        <f t="shared" ref="I20:V20" si="19">I2</f>
        <v>P (Qc=0)</v>
      </c>
      <c r="J20" s="189">
        <f t="shared" si="19"/>
        <v>1</v>
      </c>
      <c r="K20" s="207">
        <f t="shared" si="19"/>
        <v>2</v>
      </c>
      <c r="L20" s="207">
        <f t="shared" si="19"/>
        <v>3</v>
      </c>
      <c r="M20" s="207">
        <f t="shared" si="19"/>
        <v>4</v>
      </c>
      <c r="N20" s="207">
        <f t="shared" si="19"/>
        <v>5</v>
      </c>
      <c r="O20" s="207">
        <f t="shared" si="19"/>
        <v>6</v>
      </c>
      <c r="P20" s="207">
        <f t="shared" si="19"/>
        <v>7</v>
      </c>
      <c r="Q20" s="207">
        <f t="shared" si="19"/>
        <v>8</v>
      </c>
      <c r="R20" s="207">
        <f t="shared" si="19"/>
        <v>9</v>
      </c>
      <c r="S20" s="207">
        <f t="shared" si="19"/>
        <v>10</v>
      </c>
      <c r="T20" s="207">
        <f t="shared" si="19"/>
        <v>11</v>
      </c>
      <c r="U20" s="207">
        <f t="shared" si="19"/>
        <v>12</v>
      </c>
      <c r="V20" s="190">
        <f t="shared" si="19"/>
        <v>13</v>
      </c>
      <c r="W20" s="189">
        <v>3</v>
      </c>
      <c r="X20" s="81">
        <v>4</v>
      </c>
    </row>
    <row r="21" spans="1:24" x14ac:dyDescent="0.3">
      <c r="A21" s="9"/>
      <c r="B21" s="26"/>
      <c r="C21" s="44" t="s">
        <v>19</v>
      </c>
      <c r="D21" s="140">
        <f>800*0.85</f>
        <v>680</v>
      </c>
      <c r="E21" s="139">
        <v>680</v>
      </c>
      <c r="F21" s="141">
        <v>680</v>
      </c>
      <c r="H21" s="61" t="s">
        <v>42</v>
      </c>
      <c r="I21" s="158">
        <v>203</v>
      </c>
      <c r="J21" s="175">
        <v>209</v>
      </c>
      <c r="K21" s="143">
        <v>215</v>
      </c>
      <c r="L21" s="143">
        <v>76</v>
      </c>
      <c r="M21" s="143">
        <v>79</v>
      </c>
      <c r="N21" s="143">
        <v>0</v>
      </c>
      <c r="O21" s="143">
        <v>210</v>
      </c>
      <c r="P21" s="143">
        <v>202</v>
      </c>
      <c r="Q21" s="143">
        <v>215</v>
      </c>
      <c r="R21" s="143">
        <v>206</v>
      </c>
      <c r="S21" s="143">
        <v>193</v>
      </c>
      <c r="T21" s="143">
        <v>190</v>
      </c>
      <c r="U21" s="143">
        <v>197</v>
      </c>
      <c r="V21" s="176">
        <v>185</v>
      </c>
      <c r="W21" s="143">
        <v>209</v>
      </c>
      <c r="X21" s="208">
        <v>215</v>
      </c>
    </row>
    <row r="22" spans="1:24" ht="15" thickBot="1" x14ac:dyDescent="0.35">
      <c r="A22" s="9"/>
      <c r="B22" s="27"/>
      <c r="C22" s="45"/>
      <c r="D22" s="131"/>
      <c r="E22" s="130"/>
      <c r="F22" s="69"/>
      <c r="H22" s="61" t="s">
        <v>43</v>
      </c>
      <c r="I22" s="158">
        <v>798.4</v>
      </c>
      <c r="J22" s="177">
        <v>782.4</v>
      </c>
      <c r="K22" s="209">
        <v>814.4</v>
      </c>
      <c r="L22" s="209">
        <v>768.8</v>
      </c>
      <c r="M22" s="209">
        <v>800.8</v>
      </c>
      <c r="N22" s="209">
        <v>781.6</v>
      </c>
      <c r="O22" s="209">
        <v>860</v>
      </c>
      <c r="P22" s="209">
        <v>874.4</v>
      </c>
      <c r="Q22" s="209">
        <v>852</v>
      </c>
      <c r="R22" s="209">
        <v>776</v>
      </c>
      <c r="S22" s="209">
        <v>731.2</v>
      </c>
      <c r="T22" s="209">
        <v>721.6</v>
      </c>
      <c r="U22" s="209">
        <v>742.40000000000009</v>
      </c>
      <c r="V22" s="178">
        <v>698.4</v>
      </c>
      <c r="W22" s="177">
        <v>782</v>
      </c>
      <c r="X22" s="144">
        <v>814</v>
      </c>
    </row>
    <row r="23" spans="1:24" ht="15" thickTop="1" x14ac:dyDescent="0.3">
      <c r="A23" s="9"/>
      <c r="H23" s="61" t="s">
        <v>44</v>
      </c>
      <c r="I23" s="158">
        <v>789.6</v>
      </c>
      <c r="J23" s="177">
        <v>774.4</v>
      </c>
      <c r="K23" s="209">
        <v>803.2</v>
      </c>
      <c r="L23" s="209">
        <v>768</v>
      </c>
      <c r="M23" s="209">
        <v>797.6</v>
      </c>
      <c r="N23" s="209">
        <v>781.6</v>
      </c>
      <c r="O23" s="209">
        <v>852.80000000000007</v>
      </c>
      <c r="P23" s="209">
        <v>866.4</v>
      </c>
      <c r="Q23" s="209">
        <v>841.6</v>
      </c>
      <c r="R23" s="209">
        <v>764.8</v>
      </c>
      <c r="S23" s="209">
        <v>720.80000000000007</v>
      </c>
      <c r="T23" s="209">
        <v>711.2</v>
      </c>
      <c r="U23" s="209">
        <v>735.2</v>
      </c>
      <c r="V23" s="178">
        <v>688</v>
      </c>
      <c r="W23" s="177">
        <v>774</v>
      </c>
      <c r="X23" s="144">
        <v>803</v>
      </c>
    </row>
    <row r="24" spans="1:24" x14ac:dyDescent="0.3">
      <c r="A24" s="9"/>
      <c r="D24" s="10"/>
      <c r="E24" s="10"/>
      <c r="F24" s="10"/>
      <c r="H24" s="61" t="s">
        <v>45</v>
      </c>
      <c r="I24" s="159">
        <f t="shared" ref="I24:X24" si="20">IF($E$13=0,0,1000*I21/(I23*SQRT(3)))</f>
        <v>148.43225005761656</v>
      </c>
      <c r="J24" s="179">
        <f t="shared" si="20"/>
        <v>155.81896469606377</v>
      </c>
      <c r="K24" s="210">
        <f t="shared" si="20"/>
        <v>154.54470602062941</v>
      </c>
      <c r="L24" s="210">
        <f t="shared" si="20"/>
        <v>57.133620388556714</v>
      </c>
      <c r="M24" s="210">
        <f t="shared" si="20"/>
        <v>57.184893763766851</v>
      </c>
      <c r="N24" s="210">
        <f t="shared" si="20"/>
        <v>0</v>
      </c>
      <c r="O24" s="210">
        <f t="shared" si="20"/>
        <v>142.17114977699509</v>
      </c>
      <c r="P24" s="210">
        <f t="shared" si="20"/>
        <v>134.6084422625859</v>
      </c>
      <c r="Q24" s="210">
        <f t="shared" si="20"/>
        <v>147.49323654440298</v>
      </c>
      <c r="R24" s="210">
        <f t="shared" si="20"/>
        <v>155.51014049825173</v>
      </c>
      <c r="S24" s="210">
        <f t="shared" si="20"/>
        <v>154.5901802907849</v>
      </c>
      <c r="T24" s="210">
        <f t="shared" si="20"/>
        <v>154.24149486224536</v>
      </c>
      <c r="U24" s="210">
        <f t="shared" si="20"/>
        <v>154.70348616751397</v>
      </c>
      <c r="V24" s="180">
        <f t="shared" si="20"/>
        <v>155.24680203500114</v>
      </c>
      <c r="W24" s="179">
        <f t="shared" si="20"/>
        <v>155.89949129280595</v>
      </c>
      <c r="X24" s="123">
        <f t="shared" si="20"/>
        <v>154.58319785276407</v>
      </c>
    </row>
    <row r="25" spans="1:24" x14ac:dyDescent="0.3">
      <c r="A25" s="3"/>
      <c r="D25" s="10"/>
      <c r="E25" s="10"/>
      <c r="F25" s="10"/>
      <c r="H25" s="76" t="s">
        <v>46</v>
      </c>
      <c r="I25" s="160">
        <f t="shared" ref="I25:V25" si="21">IF($E$13=0,0,I21/$E$14)</f>
        <v>0.94418604651162785</v>
      </c>
      <c r="J25" s="181">
        <f t="shared" si="21"/>
        <v>0.97209302325581393</v>
      </c>
      <c r="K25" s="71">
        <f t="shared" si="21"/>
        <v>1</v>
      </c>
      <c r="L25" s="71">
        <f t="shared" si="21"/>
        <v>0.35348837209302325</v>
      </c>
      <c r="M25" s="71">
        <f t="shared" si="21"/>
        <v>0.36744186046511629</v>
      </c>
      <c r="N25" s="71">
        <f t="shared" si="21"/>
        <v>0</v>
      </c>
      <c r="O25" s="71">
        <f t="shared" si="21"/>
        <v>0.97674418604651159</v>
      </c>
      <c r="P25" s="71">
        <f t="shared" si="21"/>
        <v>0.93953488372093019</v>
      </c>
      <c r="Q25" s="71">
        <f t="shared" si="21"/>
        <v>1</v>
      </c>
      <c r="R25" s="71">
        <f t="shared" si="21"/>
        <v>0.95813953488372094</v>
      </c>
      <c r="S25" s="71">
        <f t="shared" si="21"/>
        <v>0.89767441860465114</v>
      </c>
      <c r="T25" s="71">
        <f t="shared" si="21"/>
        <v>0.88372093023255816</v>
      </c>
      <c r="U25" s="71">
        <f t="shared" si="21"/>
        <v>0.91627906976744189</v>
      </c>
      <c r="V25" s="182">
        <f t="shared" si="21"/>
        <v>0.86046511627906974</v>
      </c>
      <c r="W25" s="183">
        <f t="shared" ref="W25:X25" si="22">IF($E$13=0,0,W21/$E$14)</f>
        <v>0.97209302325581393</v>
      </c>
      <c r="X25" s="46">
        <f t="shared" si="22"/>
        <v>1</v>
      </c>
    </row>
    <row r="26" spans="1:24" x14ac:dyDescent="0.3">
      <c r="A26" s="3"/>
      <c r="H26" s="61" t="s">
        <v>47</v>
      </c>
      <c r="I26" s="161">
        <f t="shared" ref="I26:V26" si="23">IF($E$13=0,0,I22/$E$18)</f>
        <v>0.998</v>
      </c>
      <c r="J26" s="183">
        <f t="shared" si="23"/>
        <v>0.97799999999999998</v>
      </c>
      <c r="K26" s="25">
        <f t="shared" si="23"/>
        <v>1.018</v>
      </c>
      <c r="L26" s="25">
        <f t="shared" si="23"/>
        <v>0.96099999999999997</v>
      </c>
      <c r="M26" s="25">
        <f t="shared" si="23"/>
        <v>1.0009999999999999</v>
      </c>
      <c r="N26" s="25">
        <f t="shared" si="23"/>
        <v>0.97699999999999998</v>
      </c>
      <c r="O26" s="25">
        <f t="shared" si="23"/>
        <v>1.075</v>
      </c>
      <c r="P26" s="25">
        <f t="shared" si="23"/>
        <v>1.093</v>
      </c>
      <c r="Q26" s="25">
        <f t="shared" si="23"/>
        <v>1.0649999999999999</v>
      </c>
      <c r="R26" s="25">
        <f t="shared" si="23"/>
        <v>0.97</v>
      </c>
      <c r="S26" s="25">
        <f t="shared" si="23"/>
        <v>0.91400000000000003</v>
      </c>
      <c r="T26" s="25">
        <f t="shared" si="23"/>
        <v>0.90200000000000002</v>
      </c>
      <c r="U26" s="25">
        <f t="shared" si="23"/>
        <v>0.92800000000000016</v>
      </c>
      <c r="V26" s="184">
        <f t="shared" si="23"/>
        <v>0.873</v>
      </c>
      <c r="W26" s="183">
        <f t="shared" ref="W26:X26" si="24">IF($E$13=0,0,W22/$E$18)</f>
        <v>0.97750000000000004</v>
      </c>
      <c r="X26" s="46">
        <f t="shared" si="24"/>
        <v>1.0175000000000001</v>
      </c>
    </row>
    <row r="27" spans="1:24" x14ac:dyDescent="0.3">
      <c r="A27" s="3"/>
      <c r="H27" s="61" t="s">
        <v>48</v>
      </c>
      <c r="I27" s="161">
        <f t="shared" ref="I27:V27" si="25">IF($E$13=0,0,I23/$E$18)</f>
        <v>0.98699999999999999</v>
      </c>
      <c r="J27" s="183">
        <f t="shared" si="25"/>
        <v>0.96799999999999997</v>
      </c>
      <c r="K27" s="25">
        <f t="shared" si="25"/>
        <v>1.004</v>
      </c>
      <c r="L27" s="25">
        <f t="shared" si="25"/>
        <v>0.96</v>
      </c>
      <c r="M27" s="25">
        <f t="shared" si="25"/>
        <v>0.997</v>
      </c>
      <c r="N27" s="25">
        <f t="shared" si="25"/>
        <v>0.97699999999999998</v>
      </c>
      <c r="O27" s="25">
        <f t="shared" si="25"/>
        <v>1.0660000000000001</v>
      </c>
      <c r="P27" s="25">
        <f t="shared" si="25"/>
        <v>1.083</v>
      </c>
      <c r="Q27" s="25">
        <f t="shared" si="25"/>
        <v>1.052</v>
      </c>
      <c r="R27" s="25">
        <f t="shared" si="25"/>
        <v>0.95599999999999996</v>
      </c>
      <c r="S27" s="25">
        <f t="shared" si="25"/>
        <v>0.90100000000000013</v>
      </c>
      <c r="T27" s="25">
        <f t="shared" si="25"/>
        <v>0.88900000000000001</v>
      </c>
      <c r="U27" s="25">
        <f t="shared" si="25"/>
        <v>0.91900000000000004</v>
      </c>
      <c r="V27" s="184">
        <f t="shared" si="25"/>
        <v>0.86</v>
      </c>
      <c r="W27" s="183">
        <f t="shared" ref="W27:X27" si="26">IF($E$13=0,0,W23/$E$18)</f>
        <v>0.96750000000000003</v>
      </c>
      <c r="X27" s="46">
        <f t="shared" si="26"/>
        <v>1.0037499999999999</v>
      </c>
    </row>
    <row r="28" spans="1:24" x14ac:dyDescent="0.3">
      <c r="A28" s="3"/>
      <c r="H28" s="77" t="s">
        <v>49</v>
      </c>
      <c r="I28" s="161">
        <f t="shared" ref="I28:V28" si="27">IF($E$13=0,0,I24/$E$19)</f>
        <v>0.95639336377330264</v>
      </c>
      <c r="J28" s="183">
        <f t="shared" si="27"/>
        <v>1.0039881745880399</v>
      </c>
      <c r="K28" s="25">
        <f t="shared" si="27"/>
        <v>0.99577774497828231</v>
      </c>
      <c r="L28" s="25">
        <f t="shared" si="27"/>
        <v>0.36812899734894794</v>
      </c>
      <c r="M28" s="25">
        <f t="shared" si="27"/>
        <v>0.36845936703458027</v>
      </c>
      <c r="N28" s="25">
        <f t="shared" si="27"/>
        <v>0</v>
      </c>
      <c r="O28" s="25">
        <f t="shared" si="27"/>
        <v>0.91605122278991691</v>
      </c>
      <c r="P28" s="25">
        <f t="shared" si="27"/>
        <v>0.86732243725892977</v>
      </c>
      <c r="Q28" s="25">
        <f t="shared" si="27"/>
        <v>0.95034301897166873</v>
      </c>
      <c r="R28" s="25">
        <f t="shared" si="27"/>
        <v>1.001998327952653</v>
      </c>
      <c r="S28" s="25">
        <f t="shared" si="27"/>
        <v>0.99607074929629458</v>
      </c>
      <c r="T28" s="25">
        <f t="shared" si="27"/>
        <v>0.99382406483405528</v>
      </c>
      <c r="U28" s="25">
        <f t="shared" si="27"/>
        <v>0.99680081293501277</v>
      </c>
      <c r="V28" s="184">
        <f t="shared" si="27"/>
        <v>1.0003015595038733</v>
      </c>
      <c r="W28" s="183">
        <f t="shared" ref="W28:X28" si="28">IF($E$13=0,0,W24/$E$19)</f>
        <v>1.0045070315258116</v>
      </c>
      <c r="X28" s="46">
        <f t="shared" si="28"/>
        <v>0.99602575936059334</v>
      </c>
    </row>
    <row r="29" spans="1:24" x14ac:dyDescent="0.3">
      <c r="A29" s="1"/>
      <c r="H29" s="61" t="s">
        <v>50</v>
      </c>
      <c r="I29" s="156">
        <f>IF($E$13=0,0,$E$20/$E$18)</f>
        <v>1.1000000000000001</v>
      </c>
      <c r="J29" s="173">
        <f t="shared" ref="J29:X29" si="29">$I$29</f>
        <v>1.1000000000000001</v>
      </c>
      <c r="K29" s="206">
        <f t="shared" si="29"/>
        <v>1.1000000000000001</v>
      </c>
      <c r="L29" s="206">
        <f t="shared" si="29"/>
        <v>1.1000000000000001</v>
      </c>
      <c r="M29" s="206">
        <f t="shared" si="29"/>
        <v>1.1000000000000001</v>
      </c>
      <c r="N29" s="206">
        <f t="shared" si="29"/>
        <v>1.1000000000000001</v>
      </c>
      <c r="O29" s="206">
        <f>$I$29</f>
        <v>1.1000000000000001</v>
      </c>
      <c r="P29" s="206">
        <f t="shared" si="29"/>
        <v>1.1000000000000001</v>
      </c>
      <c r="Q29" s="206">
        <f t="shared" si="29"/>
        <v>1.1000000000000001</v>
      </c>
      <c r="R29" s="206">
        <f t="shared" si="29"/>
        <v>1.1000000000000001</v>
      </c>
      <c r="S29" s="206">
        <f t="shared" si="29"/>
        <v>1.1000000000000001</v>
      </c>
      <c r="T29" s="206">
        <f t="shared" si="29"/>
        <v>1.1000000000000001</v>
      </c>
      <c r="U29" s="206">
        <f t="shared" si="29"/>
        <v>1.1000000000000001</v>
      </c>
      <c r="V29" s="174">
        <f t="shared" si="29"/>
        <v>1.1000000000000001</v>
      </c>
      <c r="W29" s="173">
        <f t="shared" si="29"/>
        <v>1.1000000000000001</v>
      </c>
      <c r="X29" s="29">
        <f t="shared" si="29"/>
        <v>1.1000000000000001</v>
      </c>
    </row>
    <row r="30" spans="1:24" ht="15" thickBot="1" x14ac:dyDescent="0.35">
      <c r="H30" s="202" t="s">
        <v>51</v>
      </c>
      <c r="I30" s="197">
        <f>IF($E$13=0,0,$E$21/$E$18)</f>
        <v>0.85</v>
      </c>
      <c r="J30" s="193">
        <f t="shared" ref="J30:X30" si="30">$I$30</f>
        <v>0.85</v>
      </c>
      <c r="K30" s="198">
        <f t="shared" si="30"/>
        <v>0.85</v>
      </c>
      <c r="L30" s="198">
        <f t="shared" si="30"/>
        <v>0.85</v>
      </c>
      <c r="M30" s="198">
        <f t="shared" si="30"/>
        <v>0.85</v>
      </c>
      <c r="N30" s="198">
        <f t="shared" si="30"/>
        <v>0.85</v>
      </c>
      <c r="O30" s="198">
        <f>$I$30</f>
        <v>0.85</v>
      </c>
      <c r="P30" s="198">
        <f t="shared" si="30"/>
        <v>0.85</v>
      </c>
      <c r="Q30" s="198">
        <f t="shared" si="30"/>
        <v>0.85</v>
      </c>
      <c r="R30" s="198">
        <f t="shared" si="30"/>
        <v>0.85</v>
      </c>
      <c r="S30" s="198">
        <f t="shared" si="30"/>
        <v>0.85</v>
      </c>
      <c r="T30" s="198">
        <f t="shared" si="30"/>
        <v>0.85</v>
      </c>
      <c r="U30" s="198">
        <f t="shared" si="30"/>
        <v>0.85</v>
      </c>
      <c r="V30" s="199">
        <f t="shared" si="30"/>
        <v>0.85</v>
      </c>
      <c r="W30" s="193">
        <f t="shared" si="30"/>
        <v>0.85</v>
      </c>
      <c r="X30" s="194">
        <f t="shared" si="30"/>
        <v>0.85</v>
      </c>
    </row>
    <row r="31" spans="1:24" x14ac:dyDescent="0.3">
      <c r="H31" s="201" t="s">
        <v>36</v>
      </c>
      <c r="I31" s="164" t="str">
        <f t="shared" ref="I31:V31" si="31">I2</f>
        <v>P (Qc=0)</v>
      </c>
      <c r="J31" s="189">
        <f t="shared" si="31"/>
        <v>1</v>
      </c>
      <c r="K31" s="207">
        <f t="shared" si="31"/>
        <v>2</v>
      </c>
      <c r="L31" s="207">
        <f t="shared" si="31"/>
        <v>3</v>
      </c>
      <c r="M31" s="207">
        <f t="shared" si="31"/>
        <v>4</v>
      </c>
      <c r="N31" s="207">
        <f t="shared" si="31"/>
        <v>5</v>
      </c>
      <c r="O31" s="207">
        <f t="shared" si="31"/>
        <v>6</v>
      </c>
      <c r="P31" s="207">
        <f t="shared" si="31"/>
        <v>7</v>
      </c>
      <c r="Q31" s="207">
        <f t="shared" si="31"/>
        <v>8</v>
      </c>
      <c r="R31" s="207">
        <f t="shared" si="31"/>
        <v>9</v>
      </c>
      <c r="S31" s="207">
        <f t="shared" si="31"/>
        <v>10</v>
      </c>
      <c r="T31" s="207">
        <f t="shared" si="31"/>
        <v>11</v>
      </c>
      <c r="U31" s="207">
        <f t="shared" si="31"/>
        <v>12</v>
      </c>
      <c r="V31" s="190">
        <f t="shared" si="31"/>
        <v>13</v>
      </c>
      <c r="W31" s="189">
        <v>3</v>
      </c>
      <c r="X31" s="81">
        <v>4</v>
      </c>
    </row>
    <row r="32" spans="1:24" x14ac:dyDescent="0.3">
      <c r="H32" s="70" t="s">
        <v>42</v>
      </c>
      <c r="I32" s="158">
        <v>203</v>
      </c>
      <c r="J32" s="175">
        <v>209</v>
      </c>
      <c r="K32" s="143">
        <v>215</v>
      </c>
      <c r="L32" s="143">
        <v>76</v>
      </c>
      <c r="M32" s="143">
        <v>79</v>
      </c>
      <c r="N32" s="143">
        <v>0</v>
      </c>
      <c r="O32" s="143">
        <v>210</v>
      </c>
      <c r="P32" s="143">
        <v>202</v>
      </c>
      <c r="Q32" s="143">
        <v>215</v>
      </c>
      <c r="R32" s="143">
        <v>206</v>
      </c>
      <c r="S32" s="143">
        <v>193</v>
      </c>
      <c r="T32" s="143">
        <v>190</v>
      </c>
      <c r="U32" s="143">
        <v>197</v>
      </c>
      <c r="V32" s="176">
        <v>185</v>
      </c>
      <c r="W32" s="143">
        <v>209</v>
      </c>
      <c r="X32" s="208">
        <v>215</v>
      </c>
    </row>
    <row r="33" spans="1:24" x14ac:dyDescent="0.3">
      <c r="A33" s="3"/>
      <c r="H33" s="78" t="s">
        <v>43</v>
      </c>
      <c r="I33" s="165">
        <v>798.4</v>
      </c>
      <c r="J33" s="177">
        <v>782.4</v>
      </c>
      <c r="K33" s="209">
        <v>814.4</v>
      </c>
      <c r="L33" s="209">
        <v>768.8</v>
      </c>
      <c r="M33" s="209">
        <v>800.8</v>
      </c>
      <c r="N33" s="209">
        <v>781.6</v>
      </c>
      <c r="O33" s="209">
        <v>860</v>
      </c>
      <c r="P33" s="209">
        <v>874.4</v>
      </c>
      <c r="Q33" s="209">
        <v>852</v>
      </c>
      <c r="R33" s="209">
        <v>776</v>
      </c>
      <c r="S33" s="209">
        <v>731.2</v>
      </c>
      <c r="T33" s="209">
        <v>721.6</v>
      </c>
      <c r="U33" s="209">
        <v>742.40000000000009</v>
      </c>
      <c r="V33" s="191">
        <v>698.4</v>
      </c>
      <c r="W33" s="192">
        <v>782</v>
      </c>
      <c r="X33" s="145">
        <v>814</v>
      </c>
    </row>
    <row r="34" spans="1:24" x14ac:dyDescent="0.3">
      <c r="H34" s="70" t="s">
        <v>44</v>
      </c>
      <c r="I34" s="158">
        <v>789.6</v>
      </c>
      <c r="J34" s="177">
        <v>774.4</v>
      </c>
      <c r="K34" s="209">
        <v>803.2</v>
      </c>
      <c r="L34" s="209">
        <v>768</v>
      </c>
      <c r="M34" s="209">
        <v>797.6</v>
      </c>
      <c r="N34" s="209">
        <v>781.6</v>
      </c>
      <c r="O34" s="209">
        <v>852.80000000000007</v>
      </c>
      <c r="P34" s="209">
        <v>866.4</v>
      </c>
      <c r="Q34" s="209">
        <v>841.6</v>
      </c>
      <c r="R34" s="209">
        <v>764.8</v>
      </c>
      <c r="S34" s="209">
        <v>720.80000000000007</v>
      </c>
      <c r="T34" s="209">
        <v>711.2</v>
      </c>
      <c r="U34" s="209">
        <v>735.2</v>
      </c>
      <c r="V34" s="178">
        <v>688</v>
      </c>
      <c r="W34" s="177">
        <v>774</v>
      </c>
      <c r="X34" s="144">
        <v>803</v>
      </c>
    </row>
    <row r="35" spans="1:24" x14ac:dyDescent="0.3">
      <c r="A35" s="12"/>
      <c r="H35" s="80" t="s">
        <v>45</v>
      </c>
      <c r="I35" s="166">
        <f t="shared" ref="I35:V35" si="32">IF($F$13=0,0,1000*I32/(I34*SQRT(3)))</f>
        <v>148.43225005761656</v>
      </c>
      <c r="J35" s="179">
        <f t="shared" si="32"/>
        <v>155.81896469606377</v>
      </c>
      <c r="K35" s="210">
        <f t="shared" si="32"/>
        <v>154.54470602062941</v>
      </c>
      <c r="L35" s="210">
        <f t="shared" si="32"/>
        <v>57.133620388556714</v>
      </c>
      <c r="M35" s="210">
        <f t="shared" si="32"/>
        <v>57.184893763766851</v>
      </c>
      <c r="N35" s="210">
        <f t="shared" si="32"/>
        <v>0</v>
      </c>
      <c r="O35" s="210">
        <f t="shared" si="32"/>
        <v>142.17114977699509</v>
      </c>
      <c r="P35" s="210">
        <f t="shared" si="32"/>
        <v>134.6084422625859</v>
      </c>
      <c r="Q35" s="210">
        <f t="shared" si="32"/>
        <v>147.49323654440298</v>
      </c>
      <c r="R35" s="210">
        <f t="shared" si="32"/>
        <v>155.51014049825173</v>
      </c>
      <c r="S35" s="210">
        <f t="shared" si="32"/>
        <v>154.5901802907849</v>
      </c>
      <c r="T35" s="210">
        <f t="shared" si="32"/>
        <v>154.24149486224536</v>
      </c>
      <c r="U35" s="210">
        <f t="shared" si="32"/>
        <v>154.70348616751397</v>
      </c>
      <c r="V35" s="180">
        <f t="shared" si="32"/>
        <v>155.24680203500114</v>
      </c>
      <c r="W35" s="179">
        <f t="shared" ref="W35:X35" si="33">IF($F$13=0,0,1000*W32/(W34*SQRT(3)))</f>
        <v>155.89949129280595</v>
      </c>
      <c r="X35" s="123">
        <f t="shared" si="33"/>
        <v>154.58319785276407</v>
      </c>
    </row>
    <row r="36" spans="1:24" x14ac:dyDescent="0.3">
      <c r="A36" s="9"/>
      <c r="G36" s="5"/>
      <c r="H36" s="78" t="s">
        <v>46</v>
      </c>
      <c r="I36" s="160">
        <f t="shared" ref="I36:V36" si="34">IF($F$13=0,0,I32/$F$14)</f>
        <v>0.94418604651162785</v>
      </c>
      <c r="J36" s="181">
        <f t="shared" si="34"/>
        <v>0.97209302325581393</v>
      </c>
      <c r="K36" s="71">
        <f t="shared" si="34"/>
        <v>1</v>
      </c>
      <c r="L36" s="71">
        <f t="shared" si="34"/>
        <v>0.35348837209302325</v>
      </c>
      <c r="M36" s="71">
        <f t="shared" si="34"/>
        <v>0.36744186046511629</v>
      </c>
      <c r="N36" s="71">
        <f t="shared" si="34"/>
        <v>0</v>
      </c>
      <c r="O36" s="71">
        <f t="shared" si="34"/>
        <v>0.97674418604651159</v>
      </c>
      <c r="P36" s="71">
        <f t="shared" si="34"/>
        <v>0.93953488372093019</v>
      </c>
      <c r="Q36" s="71">
        <f t="shared" si="34"/>
        <v>1</v>
      </c>
      <c r="R36" s="71">
        <f t="shared" si="34"/>
        <v>0.95813953488372094</v>
      </c>
      <c r="S36" s="71">
        <f t="shared" si="34"/>
        <v>0.89767441860465114</v>
      </c>
      <c r="T36" s="71">
        <f t="shared" si="34"/>
        <v>0.88372093023255816</v>
      </c>
      <c r="U36" s="71">
        <f t="shared" si="34"/>
        <v>0.91627906976744189</v>
      </c>
      <c r="V36" s="182">
        <f t="shared" si="34"/>
        <v>0.86046511627906974</v>
      </c>
      <c r="W36" s="183">
        <f t="shared" ref="W36:X36" si="35">IF($F$13=0,0,W32/$F$14)</f>
        <v>0.97209302325581393</v>
      </c>
      <c r="X36" s="46">
        <f t="shared" si="35"/>
        <v>1</v>
      </c>
    </row>
    <row r="37" spans="1:24" x14ac:dyDescent="0.3">
      <c r="H37" s="70" t="s">
        <v>47</v>
      </c>
      <c r="I37" s="161">
        <f t="shared" ref="I37:V37" si="36">IF($F$13=0,0,I33/$F$18)</f>
        <v>0.998</v>
      </c>
      <c r="J37" s="183">
        <f t="shared" si="36"/>
        <v>0.97799999999999998</v>
      </c>
      <c r="K37" s="25">
        <f t="shared" si="36"/>
        <v>1.018</v>
      </c>
      <c r="L37" s="25">
        <f t="shared" si="36"/>
        <v>0.96099999999999997</v>
      </c>
      <c r="M37" s="25">
        <f t="shared" si="36"/>
        <v>1.0009999999999999</v>
      </c>
      <c r="N37" s="25">
        <f t="shared" si="36"/>
        <v>0.97699999999999998</v>
      </c>
      <c r="O37" s="25">
        <f t="shared" si="36"/>
        <v>1.075</v>
      </c>
      <c r="P37" s="25">
        <f t="shared" si="36"/>
        <v>1.093</v>
      </c>
      <c r="Q37" s="25">
        <f t="shared" si="36"/>
        <v>1.0649999999999999</v>
      </c>
      <c r="R37" s="25">
        <f t="shared" si="36"/>
        <v>0.97</v>
      </c>
      <c r="S37" s="25">
        <f t="shared" si="36"/>
        <v>0.91400000000000003</v>
      </c>
      <c r="T37" s="25">
        <f t="shared" si="36"/>
        <v>0.90200000000000002</v>
      </c>
      <c r="U37" s="25">
        <f t="shared" si="36"/>
        <v>0.92800000000000016</v>
      </c>
      <c r="V37" s="184">
        <f t="shared" si="36"/>
        <v>0.873</v>
      </c>
      <c r="W37" s="183">
        <f t="shared" ref="W37:X37" si="37">IF($F$13=0,0,W33/$F$18)</f>
        <v>0.97750000000000004</v>
      </c>
      <c r="X37" s="46">
        <f t="shared" si="37"/>
        <v>1.0175000000000001</v>
      </c>
    </row>
    <row r="38" spans="1:24" x14ac:dyDescent="0.3">
      <c r="H38" s="70" t="s">
        <v>48</v>
      </c>
      <c r="I38" s="161">
        <f t="shared" ref="I38:V38" si="38">IF($F$13=0,0,I34/$F$18)</f>
        <v>0.98699999999999999</v>
      </c>
      <c r="J38" s="183">
        <f t="shared" si="38"/>
        <v>0.96799999999999997</v>
      </c>
      <c r="K38" s="25">
        <f t="shared" si="38"/>
        <v>1.004</v>
      </c>
      <c r="L38" s="25">
        <f t="shared" si="38"/>
        <v>0.96</v>
      </c>
      <c r="M38" s="25">
        <f t="shared" si="38"/>
        <v>0.997</v>
      </c>
      <c r="N38" s="25">
        <f t="shared" si="38"/>
        <v>0.97699999999999998</v>
      </c>
      <c r="O38" s="25">
        <f t="shared" si="38"/>
        <v>1.0660000000000001</v>
      </c>
      <c r="P38" s="25">
        <f t="shared" si="38"/>
        <v>1.083</v>
      </c>
      <c r="Q38" s="25">
        <f t="shared" si="38"/>
        <v>1.052</v>
      </c>
      <c r="R38" s="25">
        <f t="shared" si="38"/>
        <v>0.95599999999999996</v>
      </c>
      <c r="S38" s="25">
        <f t="shared" si="38"/>
        <v>0.90100000000000013</v>
      </c>
      <c r="T38" s="25">
        <f t="shared" si="38"/>
        <v>0.88900000000000001</v>
      </c>
      <c r="U38" s="25">
        <f t="shared" si="38"/>
        <v>0.91900000000000004</v>
      </c>
      <c r="V38" s="184">
        <f t="shared" si="38"/>
        <v>0.86</v>
      </c>
      <c r="W38" s="183">
        <f t="shared" ref="W38:X38" si="39">IF($F$13=0,0,W34/$F$18)</f>
        <v>0.96750000000000003</v>
      </c>
      <c r="X38" s="46">
        <f t="shared" si="39"/>
        <v>1.0037499999999999</v>
      </c>
    </row>
    <row r="39" spans="1:24" x14ac:dyDescent="0.3">
      <c r="H39" s="80" t="s">
        <v>49</v>
      </c>
      <c r="I39" s="161">
        <f t="shared" ref="I39:V39" si="40">IF($F$13=0,0,I35/$F$19)</f>
        <v>0.95639336377330264</v>
      </c>
      <c r="J39" s="183">
        <f t="shared" si="40"/>
        <v>1.0039881745880399</v>
      </c>
      <c r="K39" s="25">
        <f t="shared" si="40"/>
        <v>0.99577774497828231</v>
      </c>
      <c r="L39" s="25">
        <f t="shared" si="40"/>
        <v>0.36812899734894794</v>
      </c>
      <c r="M39" s="25">
        <f t="shared" si="40"/>
        <v>0.36845936703458027</v>
      </c>
      <c r="N39" s="25">
        <f t="shared" si="40"/>
        <v>0</v>
      </c>
      <c r="O39" s="25">
        <f t="shared" si="40"/>
        <v>0.91605122278991691</v>
      </c>
      <c r="P39" s="25">
        <f t="shared" si="40"/>
        <v>0.86732243725892977</v>
      </c>
      <c r="Q39" s="25">
        <f t="shared" si="40"/>
        <v>0.95034301897166873</v>
      </c>
      <c r="R39" s="25">
        <f t="shared" si="40"/>
        <v>1.001998327952653</v>
      </c>
      <c r="S39" s="25">
        <f t="shared" si="40"/>
        <v>0.99607074929629458</v>
      </c>
      <c r="T39" s="25">
        <f t="shared" si="40"/>
        <v>0.99382406483405528</v>
      </c>
      <c r="U39" s="25">
        <f t="shared" si="40"/>
        <v>0.99680081293501277</v>
      </c>
      <c r="V39" s="184">
        <f t="shared" si="40"/>
        <v>1.0003015595038733</v>
      </c>
      <c r="W39" s="183">
        <f t="shared" ref="W39:X39" si="41">IF($F$13=0,0,W35/$F$19)</f>
        <v>1.0045070315258116</v>
      </c>
      <c r="X39" s="46">
        <f t="shared" si="41"/>
        <v>0.99602575936059334</v>
      </c>
    </row>
    <row r="40" spans="1:24" x14ac:dyDescent="0.3">
      <c r="H40" s="70" t="s">
        <v>50</v>
      </c>
      <c r="I40" s="156">
        <f>IF($F$13=0,0,$F$20/$F$18)</f>
        <v>1.1000000000000001</v>
      </c>
      <c r="J40" s="173">
        <f>$I$40</f>
        <v>1.1000000000000001</v>
      </c>
      <c r="K40" s="206">
        <f t="shared" ref="K40:X40" si="42">$I$40</f>
        <v>1.1000000000000001</v>
      </c>
      <c r="L40" s="206">
        <f t="shared" si="42"/>
        <v>1.1000000000000001</v>
      </c>
      <c r="M40" s="206">
        <f t="shared" si="42"/>
        <v>1.1000000000000001</v>
      </c>
      <c r="N40" s="206">
        <f t="shared" si="42"/>
        <v>1.1000000000000001</v>
      </c>
      <c r="O40" s="206">
        <f t="shared" si="42"/>
        <v>1.1000000000000001</v>
      </c>
      <c r="P40" s="206">
        <f t="shared" si="42"/>
        <v>1.1000000000000001</v>
      </c>
      <c r="Q40" s="206">
        <f t="shared" si="42"/>
        <v>1.1000000000000001</v>
      </c>
      <c r="R40" s="206">
        <f t="shared" si="42"/>
        <v>1.1000000000000001</v>
      </c>
      <c r="S40" s="206">
        <f t="shared" si="42"/>
        <v>1.1000000000000001</v>
      </c>
      <c r="T40" s="206">
        <f t="shared" si="42"/>
        <v>1.1000000000000001</v>
      </c>
      <c r="U40" s="206">
        <f t="shared" si="42"/>
        <v>1.1000000000000001</v>
      </c>
      <c r="V40" s="174">
        <f t="shared" si="42"/>
        <v>1.1000000000000001</v>
      </c>
      <c r="W40" s="173">
        <f t="shared" si="42"/>
        <v>1.1000000000000001</v>
      </c>
      <c r="X40" s="29">
        <f t="shared" si="42"/>
        <v>1.1000000000000001</v>
      </c>
    </row>
    <row r="41" spans="1:24" ht="15" thickBot="1" x14ac:dyDescent="0.35">
      <c r="H41" s="125" t="s">
        <v>51</v>
      </c>
      <c r="I41" s="163">
        <f>IF($F$13=0,0,$F$21/$F$18)</f>
        <v>0.85</v>
      </c>
      <c r="J41" s="187">
        <f>$I$41</f>
        <v>0.85</v>
      </c>
      <c r="K41" s="75">
        <f t="shared" ref="K41:X41" si="43">$I$41</f>
        <v>0.85</v>
      </c>
      <c r="L41" s="75">
        <f t="shared" si="43"/>
        <v>0.85</v>
      </c>
      <c r="M41" s="75">
        <f t="shared" si="43"/>
        <v>0.85</v>
      </c>
      <c r="N41" s="75">
        <f t="shared" si="43"/>
        <v>0.85</v>
      </c>
      <c r="O41" s="75">
        <f t="shared" si="43"/>
        <v>0.85</v>
      </c>
      <c r="P41" s="75">
        <f t="shared" si="43"/>
        <v>0.85</v>
      </c>
      <c r="Q41" s="75">
        <f t="shared" si="43"/>
        <v>0.85</v>
      </c>
      <c r="R41" s="75">
        <f t="shared" si="43"/>
        <v>0.85</v>
      </c>
      <c r="S41" s="75">
        <f t="shared" si="43"/>
        <v>0.85</v>
      </c>
      <c r="T41" s="75">
        <f t="shared" si="43"/>
        <v>0.85</v>
      </c>
      <c r="U41" s="75">
        <f t="shared" si="43"/>
        <v>0.85</v>
      </c>
      <c r="V41" s="188">
        <f t="shared" si="43"/>
        <v>0.85</v>
      </c>
      <c r="W41" s="187">
        <f t="shared" si="43"/>
        <v>0.85</v>
      </c>
      <c r="X41" s="74">
        <f t="shared" si="43"/>
        <v>0.85</v>
      </c>
    </row>
    <row r="42" spans="1:24" ht="15" thickTop="1" x14ac:dyDescent="0.3">
      <c r="H42" s="6"/>
      <c r="S42" s="23"/>
    </row>
    <row r="43" spans="1:24" ht="15" thickBot="1" x14ac:dyDescent="0.35">
      <c r="S43" s="23"/>
    </row>
    <row r="44" spans="1:24" ht="15.6" thickTop="1" thickBot="1" x14ac:dyDescent="0.35">
      <c r="H44" s="247" t="s">
        <v>29</v>
      </c>
      <c r="I44" s="38"/>
      <c r="J44" s="34"/>
      <c r="K44" s="250" t="s">
        <v>30</v>
      </c>
      <c r="L44" s="250"/>
      <c r="M44" s="250"/>
      <c r="N44" s="250"/>
      <c r="O44" s="250"/>
      <c r="P44" s="250"/>
      <c r="Q44" s="250"/>
      <c r="R44" s="250"/>
      <c r="S44" s="251"/>
    </row>
    <row r="45" spans="1:24" ht="15" thickBot="1" x14ac:dyDescent="0.35">
      <c r="H45" s="248"/>
      <c r="I45" s="82"/>
      <c r="J45" s="83"/>
      <c r="K45" s="245" t="s">
        <v>56</v>
      </c>
      <c r="L45" s="245"/>
      <c r="M45" s="245"/>
      <c r="N45" s="245"/>
      <c r="O45" s="245"/>
      <c r="P45" s="245"/>
      <c r="Q45" s="245"/>
      <c r="R45" s="245"/>
      <c r="S45" s="246"/>
    </row>
    <row r="46" spans="1:24" x14ac:dyDescent="0.3">
      <c r="H46" s="248"/>
      <c r="I46" s="39"/>
      <c r="J46" s="35"/>
      <c r="K46" s="252" t="s">
        <v>60</v>
      </c>
      <c r="L46" s="252"/>
      <c r="M46" s="252"/>
      <c r="N46" s="252"/>
      <c r="O46" s="252"/>
      <c r="P46" s="252"/>
      <c r="Q46" s="252"/>
      <c r="R46" s="252"/>
      <c r="S46" s="253"/>
    </row>
    <row r="47" spans="1:24" x14ac:dyDescent="0.3">
      <c r="H47" s="248"/>
      <c r="I47" s="40"/>
      <c r="J47" s="36"/>
      <c r="K47" s="252" t="s">
        <v>61</v>
      </c>
      <c r="L47" s="252"/>
      <c r="M47" s="252"/>
      <c r="N47" s="252"/>
      <c r="O47" s="252"/>
      <c r="P47" s="252"/>
      <c r="Q47" s="252"/>
      <c r="R47" s="252"/>
      <c r="S47" s="253"/>
    </row>
    <row r="48" spans="1:24" ht="15" thickBot="1" x14ac:dyDescent="0.35">
      <c r="H48" s="249"/>
      <c r="I48" s="41"/>
      <c r="J48" s="37"/>
      <c r="K48" s="254" t="s">
        <v>37</v>
      </c>
      <c r="L48" s="254"/>
      <c r="M48" s="254"/>
      <c r="N48" s="254"/>
      <c r="O48" s="254"/>
      <c r="P48" s="254"/>
      <c r="Q48" s="254"/>
      <c r="R48" s="254"/>
      <c r="S48" s="255"/>
    </row>
    <row r="49" spans="2:16" ht="19.2" thickTop="1" thickBot="1" x14ac:dyDescent="0.4">
      <c r="B49" s="217" t="s">
        <v>82</v>
      </c>
      <c r="C49" s="218"/>
    </row>
    <row r="50" spans="2:16" x14ac:dyDescent="0.3">
      <c r="B50" s="221" t="s">
        <v>77</v>
      </c>
      <c r="C50" s="222"/>
      <c r="H50" s="15"/>
      <c r="I50" s="242" t="s">
        <v>33</v>
      </c>
      <c r="J50" s="243"/>
      <c r="K50" s="243"/>
      <c r="L50" s="243"/>
      <c r="M50" s="243"/>
      <c r="N50" s="243"/>
      <c r="O50" s="243"/>
      <c r="P50" s="244"/>
    </row>
    <row r="51" spans="2:16" x14ac:dyDescent="0.3">
      <c r="B51" s="223" t="s">
        <v>78</v>
      </c>
      <c r="C51" s="224"/>
      <c r="H51" s="16" t="s">
        <v>1</v>
      </c>
      <c r="I51" s="47">
        <v>0.9</v>
      </c>
      <c r="J51" s="48">
        <v>0.95</v>
      </c>
      <c r="K51" s="48">
        <v>1.05</v>
      </c>
      <c r="L51" s="48">
        <v>1.1000000000000001</v>
      </c>
      <c r="M51" s="48">
        <v>1.1000000000000001</v>
      </c>
      <c r="N51" s="48">
        <v>0.95</v>
      </c>
      <c r="O51" s="48">
        <v>0.9</v>
      </c>
      <c r="P51" s="49">
        <v>0.9</v>
      </c>
    </row>
    <row r="52" spans="2:16" x14ac:dyDescent="0.3">
      <c r="B52" s="223" t="s">
        <v>79</v>
      </c>
      <c r="C52" s="224"/>
      <c r="H52" s="13" t="s">
        <v>35</v>
      </c>
      <c r="I52" s="52">
        <f>D7</f>
        <v>10.013</v>
      </c>
      <c r="J52" s="56">
        <f>I52</f>
        <v>10.013</v>
      </c>
      <c r="K52" s="56">
        <f t="shared" ref="K52:P52" si="44">J52</f>
        <v>10.013</v>
      </c>
      <c r="L52" s="56">
        <f t="shared" si="44"/>
        <v>10.013</v>
      </c>
      <c r="M52" s="56">
        <f t="shared" si="44"/>
        <v>10.013</v>
      </c>
      <c r="N52" s="56">
        <f t="shared" si="44"/>
        <v>10.013</v>
      </c>
      <c r="O52" s="56">
        <f t="shared" si="44"/>
        <v>10.013</v>
      </c>
      <c r="P52" s="57">
        <f t="shared" si="44"/>
        <v>10.013</v>
      </c>
    </row>
    <row r="53" spans="2:16" ht="15.6" x14ac:dyDescent="0.35">
      <c r="B53" s="223" t="s">
        <v>80</v>
      </c>
      <c r="C53" s="224"/>
      <c r="H53" s="13" t="s">
        <v>2</v>
      </c>
      <c r="I53" s="50">
        <v>0.2</v>
      </c>
      <c r="J53" s="51">
        <v>0.33</v>
      </c>
      <c r="K53" s="51">
        <v>0.33</v>
      </c>
      <c r="L53" s="51">
        <v>0</v>
      </c>
      <c r="M53" s="51">
        <v>-0.33</v>
      </c>
      <c r="N53" s="51">
        <v>-0.33</v>
      </c>
      <c r="O53" s="51">
        <v>0</v>
      </c>
      <c r="P53" s="49">
        <v>0.2</v>
      </c>
    </row>
    <row r="54" spans="2:16" ht="15" thickBot="1" x14ac:dyDescent="0.35">
      <c r="B54" s="215" t="s">
        <v>81</v>
      </c>
      <c r="C54" s="216"/>
      <c r="H54" s="14" t="s">
        <v>0</v>
      </c>
      <c r="I54" s="53">
        <f t="shared" ref="I54:P54" si="45">I53*I52</f>
        <v>2.0026000000000002</v>
      </c>
      <c r="J54" s="54">
        <f t="shared" si="45"/>
        <v>3.3042899999999999</v>
      </c>
      <c r="K54" s="54">
        <f t="shared" si="45"/>
        <v>3.3042899999999999</v>
      </c>
      <c r="L54" s="54">
        <f t="shared" si="45"/>
        <v>0</v>
      </c>
      <c r="M54" s="54">
        <f t="shared" si="45"/>
        <v>-3.3042899999999999</v>
      </c>
      <c r="N54" s="54">
        <f t="shared" si="45"/>
        <v>-3.3042899999999999</v>
      </c>
      <c r="O54" s="54">
        <f t="shared" si="45"/>
        <v>0</v>
      </c>
      <c r="P54" s="55">
        <f t="shared" si="45"/>
        <v>2.0026000000000002</v>
      </c>
    </row>
    <row r="55" spans="2:16" ht="15.6" thickTop="1" thickBot="1" x14ac:dyDescent="0.35">
      <c r="B55" s="225" t="s">
        <v>84</v>
      </c>
      <c r="C55" s="226"/>
      <c r="D55" s="226"/>
      <c r="E55" s="226"/>
      <c r="F55" s="226"/>
      <c r="G55" s="214"/>
      <c r="L55" s="17"/>
    </row>
    <row r="56" spans="2:16" ht="13.2" customHeight="1" thickBot="1" x14ac:dyDescent="0.35">
      <c r="B56" s="227" t="s">
        <v>83</v>
      </c>
      <c r="C56" s="228"/>
      <c r="D56" s="228"/>
      <c r="E56" s="228"/>
      <c r="F56" s="228"/>
      <c r="G56" s="229"/>
      <c r="H56" s="15"/>
      <c r="I56" s="242" t="s">
        <v>31</v>
      </c>
      <c r="J56" s="243"/>
      <c r="K56" s="243"/>
      <c r="L56" s="243"/>
      <c r="M56" s="243"/>
      <c r="N56" s="243"/>
      <c r="O56" s="244"/>
    </row>
    <row r="57" spans="2:16" ht="15" thickTop="1" x14ac:dyDescent="0.3">
      <c r="H57" s="13" t="str">
        <f>H52</f>
        <v>Pmax (MW) at Qc=0:</v>
      </c>
      <c r="I57" s="58">
        <f>D7</f>
        <v>10.013</v>
      </c>
      <c r="J57" s="59">
        <f>I57*0.93</f>
        <v>9.3120899999999995</v>
      </c>
      <c r="K57" s="59">
        <f>0.2*I57</f>
        <v>2.0026000000000002</v>
      </c>
      <c r="L57" s="59">
        <f>0</f>
        <v>0</v>
      </c>
      <c r="M57" s="59">
        <f>0.2*I57</f>
        <v>2.0026000000000002</v>
      </c>
      <c r="N57" s="59">
        <f>0.93*I57</f>
        <v>9.3120899999999995</v>
      </c>
      <c r="O57" s="60">
        <f>I57</f>
        <v>10.013</v>
      </c>
    </row>
    <row r="58" spans="2:16" x14ac:dyDescent="0.3">
      <c r="H58" s="13" t="str">
        <f>H53</f>
        <v>Q/Pmax, Qc=0</v>
      </c>
      <c r="I58" s="50">
        <v>0</v>
      </c>
      <c r="J58" s="51">
        <v>0.33</v>
      </c>
      <c r="K58" s="51">
        <v>0.33</v>
      </c>
      <c r="L58" s="51">
        <v>0</v>
      </c>
      <c r="M58" s="51">
        <v>-0.33</v>
      </c>
      <c r="N58" s="51">
        <v>-0.33</v>
      </c>
      <c r="O58" s="49">
        <v>0</v>
      </c>
    </row>
    <row r="59" spans="2:16" ht="15" thickBot="1" x14ac:dyDescent="0.35">
      <c r="H59" s="14" t="str">
        <f>H54</f>
        <v>Qmax</v>
      </c>
      <c r="I59" s="53">
        <f t="shared" ref="I59" si="46">I58*$I57</f>
        <v>0</v>
      </c>
      <c r="J59" s="53">
        <f t="shared" ref="J59:O59" si="47">J58*$I57</f>
        <v>3.3042899999999999</v>
      </c>
      <c r="K59" s="53">
        <f t="shared" si="47"/>
        <v>3.3042899999999999</v>
      </c>
      <c r="L59" s="53">
        <f t="shared" si="47"/>
        <v>0</v>
      </c>
      <c r="M59" s="53">
        <f t="shared" si="47"/>
        <v>-3.3042899999999999</v>
      </c>
      <c r="N59" s="53">
        <f t="shared" si="47"/>
        <v>-3.3042899999999999</v>
      </c>
      <c r="O59" s="53">
        <f t="shared" si="47"/>
        <v>0</v>
      </c>
    </row>
    <row r="103" spans="8:8" x14ac:dyDescent="0.3">
      <c r="H103" s="4">
        <v>9</v>
      </c>
    </row>
  </sheetData>
  <sheetProtection algorithmName="SHA-512" hashValue="1S4nfoWpu0ZsNYj16keVWXRckaDqAQeLInkRsGBgdJxyrLxDexJbpEvtg7Xbtb7M9YOy+Kbnm1DOzfwGkh/CHA==" saltValue="w/4ECbZPFBsQvif/RQAumw==" spinCount="100000" sheet="1" objects="1" scenarios="1"/>
  <mergeCells count="23">
    <mergeCell ref="B55:F55"/>
    <mergeCell ref="B56:G56"/>
    <mergeCell ref="B1:D3"/>
    <mergeCell ref="J1:V1"/>
    <mergeCell ref="I56:O56"/>
    <mergeCell ref="K45:S45"/>
    <mergeCell ref="H44:H48"/>
    <mergeCell ref="K44:S44"/>
    <mergeCell ref="K46:S46"/>
    <mergeCell ref="K47:S47"/>
    <mergeCell ref="K48:S48"/>
    <mergeCell ref="I50:P50"/>
    <mergeCell ref="C5:E5"/>
    <mergeCell ref="D6:E6"/>
    <mergeCell ref="D7:E7"/>
    <mergeCell ref="B6:B8"/>
    <mergeCell ref="B54:C54"/>
    <mergeCell ref="B49:C49"/>
    <mergeCell ref="D8:E8"/>
    <mergeCell ref="B50:C50"/>
    <mergeCell ref="B51:C51"/>
    <mergeCell ref="B52:C52"/>
    <mergeCell ref="B53:C53"/>
  </mergeCells>
  <phoneticPr fontId="23" type="noConversion"/>
  <conditionalFormatting sqref="I6">
    <cfRule type="cellIs" dxfId="75" priority="39" operator="greaterThan">
      <formula>0.995</formula>
    </cfRule>
    <cfRule type="cellIs" dxfId="74" priority="38" operator="lessThan">
      <formula>0.995</formula>
    </cfRule>
  </conditionalFormatting>
  <conditionalFormatting sqref="I8:X8">
    <cfRule type="cellIs" dxfId="73" priority="45" operator="greaterThan">
      <formula>$D$8</formula>
    </cfRule>
    <cfRule type="cellIs" dxfId="72" priority="44" operator="lessThanOrEqual">
      <formula>$D$8</formula>
    </cfRule>
  </conditionalFormatting>
  <conditionalFormatting sqref="I14:X14">
    <cfRule type="cellIs" dxfId="71" priority="82" operator="greaterThan">
      <formula>1.005</formula>
    </cfRule>
    <cfRule type="cellIs" dxfId="70" priority="81" operator="lessThanOrEqual">
      <formula>1.005</formula>
    </cfRule>
  </conditionalFormatting>
  <conditionalFormatting sqref="I15:X15">
    <cfRule type="cellIs" dxfId="69" priority="80" operator="lessThanOrEqual">
      <formula>$I$18*1.005</formula>
    </cfRule>
    <cfRule type="cellIs" dxfId="68" priority="79" operator="greaterThan">
      <formula>$I$18*1.005</formula>
    </cfRule>
  </conditionalFormatting>
  <conditionalFormatting sqref="I16:X16">
    <cfRule type="cellIs" dxfId="67" priority="76" operator="lessThan">
      <formula>$I$19*0.995</formula>
    </cfRule>
    <cfRule type="cellIs" dxfId="66" priority="75" operator="greaterThanOrEqual">
      <formula>$I$19*0.995</formula>
    </cfRule>
  </conditionalFormatting>
  <conditionalFormatting sqref="I17:X17">
    <cfRule type="cellIs" dxfId="65" priority="55" operator="greaterThan">
      <formula>1.005</formula>
    </cfRule>
    <cfRule type="cellIs" dxfId="64" priority="56" operator="lessThanOrEqual">
      <formula>1.005</formula>
    </cfRule>
  </conditionalFormatting>
  <conditionalFormatting sqref="I25:X25">
    <cfRule type="cellIs" dxfId="63" priority="15" operator="lessThanOrEqual">
      <formula>1.005</formula>
    </cfRule>
    <cfRule type="cellIs" dxfId="62" priority="16" operator="greaterThan">
      <formula>1.005</formula>
    </cfRule>
  </conditionalFormatting>
  <conditionalFormatting sqref="I26:X26">
    <cfRule type="cellIs" dxfId="61" priority="13" operator="greaterThan">
      <formula>$I$18*1.005</formula>
    </cfRule>
    <cfRule type="cellIs" dxfId="60" priority="14" operator="lessThanOrEqual">
      <formula>$I$18*1.005</formula>
    </cfRule>
  </conditionalFormatting>
  <conditionalFormatting sqref="I27:X27">
    <cfRule type="cellIs" dxfId="59" priority="11" operator="greaterThanOrEqual">
      <formula>$I$19*0.995</formula>
    </cfRule>
    <cfRule type="cellIs" dxfId="58" priority="12" operator="lessThan">
      <formula>$I$19*0.995</formula>
    </cfRule>
  </conditionalFormatting>
  <conditionalFormatting sqref="I28:X28">
    <cfRule type="cellIs" dxfId="57" priority="9" operator="greaterThan">
      <formula>1.005</formula>
    </cfRule>
    <cfRule type="cellIs" dxfId="56" priority="10" operator="lessThanOrEqual">
      <formula>1.005</formula>
    </cfRule>
  </conditionalFormatting>
  <conditionalFormatting sqref="I36:X36">
    <cfRule type="cellIs" dxfId="55" priority="7" operator="lessThanOrEqual">
      <formula>1.005</formula>
    </cfRule>
    <cfRule type="cellIs" dxfId="54" priority="8" operator="greaterThan">
      <formula>1.005</formula>
    </cfRule>
  </conditionalFormatting>
  <conditionalFormatting sqref="I37:X37">
    <cfRule type="cellIs" dxfId="53" priority="5" operator="greaterThan">
      <formula>$I$18*1.005</formula>
    </cfRule>
    <cfRule type="cellIs" dxfId="52" priority="6" operator="lessThanOrEqual">
      <formula>$I$18*1.005</formula>
    </cfRule>
  </conditionalFormatting>
  <conditionalFormatting sqref="I38:X38">
    <cfRule type="cellIs" dxfId="51" priority="3" operator="greaterThanOrEqual">
      <formula>$I$19*0.995</formula>
    </cfRule>
    <cfRule type="cellIs" dxfId="50" priority="4" operator="lessThan">
      <formula>$I$19*0.995</formula>
    </cfRule>
  </conditionalFormatting>
  <conditionalFormatting sqref="I39:X39">
    <cfRule type="cellIs" dxfId="49" priority="2" operator="lessThanOrEqual">
      <formula>1.005</formula>
    </cfRule>
    <cfRule type="cellIs" dxfId="48" priority="1" operator="greaterThan">
      <formula>1.005</formula>
    </cfRule>
  </conditionalFormatting>
  <conditionalFormatting sqref="J7 L7 O7 S7">
    <cfRule type="cellIs" dxfId="47" priority="30" operator="greaterThan">
      <formula>-0.325</formula>
    </cfRule>
    <cfRule type="cellIs" dxfId="46" priority="31" operator="lessThanOrEqual">
      <formula>-0.325</formula>
    </cfRule>
  </conditionalFormatting>
  <conditionalFormatting sqref="J6:K6">
    <cfRule type="cellIs" dxfId="45" priority="42" operator="lessThanOrEqual">
      <formula>0.925</formula>
    </cfRule>
    <cfRule type="cellIs" dxfId="44" priority="43" operator="greaterThan">
      <formula>0.925</formula>
    </cfRule>
  </conditionalFormatting>
  <conditionalFormatting sqref="K7 M7 Q7:R7 X7">
    <cfRule type="cellIs" dxfId="43" priority="29" operator="greaterThanOrEqual">
      <formula>0.325</formula>
    </cfRule>
    <cfRule type="cellIs" dxfId="42" priority="28" operator="lessThan">
      <formula>0.325</formula>
    </cfRule>
  </conditionalFormatting>
  <conditionalFormatting sqref="L6:M6">
    <cfRule type="cellIs" dxfId="41" priority="35" operator="lessThanOrEqual">
      <formula>0.205</formula>
    </cfRule>
    <cfRule type="cellIs" dxfId="40" priority="34" operator="greaterThan">
      <formula>0.205</formula>
    </cfRule>
  </conditionalFormatting>
  <conditionalFormatting sqref="N6">
    <cfRule type="cellIs" dxfId="39" priority="32" operator="lessThanOrEqual">
      <formula>0.005</formula>
    </cfRule>
    <cfRule type="cellIs" dxfId="38" priority="33" operator="greaterThan">
      <formula>0.005</formula>
    </cfRule>
  </conditionalFormatting>
  <conditionalFormatting sqref="N7">
    <cfRule type="cellIs" dxfId="37" priority="27" operator="between">
      <formula>-0.105</formula>
      <formula>0.105</formula>
    </cfRule>
    <cfRule type="cellIs" dxfId="36" priority="26" operator="notBetween">
      <formula>-0.105</formula>
      <formula>0.105</formula>
    </cfRule>
  </conditionalFormatting>
  <conditionalFormatting sqref="O6 Q6:S6">
    <cfRule type="cellIs" dxfId="35" priority="40" operator="lessThanOrEqual">
      <formula>0.925</formula>
    </cfRule>
    <cfRule type="cellIs" dxfId="34" priority="41" operator="greaterThan">
      <formula>0.925</formula>
    </cfRule>
  </conditionalFormatting>
  <conditionalFormatting sqref="P6">
    <cfRule type="cellIs" dxfId="33" priority="36" operator="lessThan">
      <formula>0.995</formula>
    </cfRule>
    <cfRule type="cellIs" dxfId="32" priority="37" operator="greaterThan">
      <formula>0.995</formula>
    </cfRule>
  </conditionalFormatting>
  <conditionalFormatting sqref="P7">
    <cfRule type="cellIs" dxfId="31" priority="25" operator="between">
      <formula>-0.005</formula>
      <formula>0.005</formula>
    </cfRule>
    <cfRule type="cellIs" dxfId="30" priority="24" operator="notBetween">
      <formula>-0.005</formula>
      <formula>0.005</formula>
    </cfRule>
  </conditionalFormatting>
  <conditionalFormatting sqref="T7">
    <cfRule type="cellIs" dxfId="29" priority="20" operator="greaterThanOrEqual">
      <formula>0.195</formula>
    </cfRule>
    <cfRule type="cellIs" dxfId="28" priority="19" operator="lessThan">
      <formula>0.195</formula>
    </cfRule>
  </conditionalFormatting>
  <conditionalFormatting sqref="U7">
    <cfRule type="cellIs" dxfId="27" priority="18" operator="between">
      <formula>-0.005</formula>
      <formula>0.005</formula>
    </cfRule>
    <cfRule type="cellIs" dxfId="26" priority="17" operator="notBetween">
      <formula>-0.005</formula>
      <formula>0.005</formula>
    </cfRule>
  </conditionalFormatting>
  <conditionalFormatting sqref="W7">
    <cfRule type="cellIs" dxfId="25" priority="22" operator="greaterThan">
      <formula>-0.325</formula>
    </cfRule>
    <cfRule type="cellIs" dxfId="24" priority="23" operator="lessThanOrEqual">
      <formula>-0.325</formula>
    </cfRule>
  </conditionalFormatting>
  <hyperlinks>
    <hyperlink ref="B56" r:id="rId1" display="https://www.netbeheernederland.nl/requirements-generators" xr:uid="{63F86F9C-386B-4713-893B-D494F2B3FE0C}"/>
  </hyperlinks>
  <pageMargins left="0.7" right="0.7" top="0.75" bottom="0.75" header="0.3" footer="0.3"/>
  <pageSetup orientation="portrait" r:id="rId2"/>
  <drawing r:id="rId3"/>
  <legacyDrawing r:id="rId4"/>
  <oleObjects>
    <mc:AlternateContent xmlns:mc="http://schemas.openxmlformats.org/markup-compatibility/2006">
      <mc:Choice Requires="x14">
        <oleObject progId="AcroExch.Document.DC" shapeId="19484" r:id="rId5">
          <objectPr defaultSize="0" autoPict="0" r:id="rId6">
            <anchor moveWithCells="1">
              <from>
                <xdr:col>0</xdr:col>
                <xdr:colOff>167640</xdr:colOff>
                <xdr:row>56</xdr:row>
                <xdr:rowOff>45720</xdr:rowOff>
              </from>
              <to>
                <xdr:col>6</xdr:col>
                <xdr:colOff>15240</xdr:colOff>
                <xdr:row>100</xdr:row>
                <xdr:rowOff>76200</xdr:rowOff>
              </to>
            </anchor>
          </objectPr>
        </oleObject>
      </mc:Choice>
      <mc:Fallback>
        <oleObject progId="AcroExch.Document.DC" shapeId="19484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FACC2-F472-4D68-B05D-96C4CA9A4D16}">
  <dimension ref="A17:AE45"/>
  <sheetViews>
    <sheetView zoomScale="60" zoomScaleNormal="60" workbookViewId="0">
      <selection activeCell="Z31" sqref="Z31"/>
    </sheetView>
  </sheetViews>
  <sheetFormatPr defaultRowHeight="14.4" x14ac:dyDescent="0.3"/>
  <cols>
    <col min="1" max="1" width="37.5546875" customWidth="1"/>
    <col min="2" max="8" width="6.6640625" customWidth="1"/>
    <col min="9" max="9" width="6.88671875" customWidth="1"/>
    <col min="10" max="10" width="8.33203125" customWidth="1"/>
    <col min="11" max="13" width="6.6640625" customWidth="1"/>
    <col min="14" max="14" width="1.6640625" customWidth="1"/>
    <col min="15" max="15" width="2.6640625" customWidth="1"/>
    <col min="16" max="16" width="41.33203125" customWidth="1"/>
    <col min="17" max="17" width="7.44140625" customWidth="1"/>
    <col min="18" max="18" width="6.109375" customWidth="1"/>
    <col min="19" max="19" width="7.44140625" customWidth="1"/>
    <col min="20" max="20" width="6.44140625" customWidth="1"/>
    <col min="21" max="21" width="6" customWidth="1"/>
    <col min="22" max="22" width="6.33203125" customWidth="1"/>
    <col min="23" max="23" width="6.6640625" customWidth="1"/>
  </cols>
  <sheetData>
    <row r="17" spans="9:31" x14ac:dyDescent="0.3">
      <c r="AE17">
        <f>50*0.202</f>
        <v>10.100000000000001</v>
      </c>
    </row>
    <row r="18" spans="9:31" x14ac:dyDescent="0.3">
      <c r="AE18">
        <f>50*-0.056</f>
        <v>-2.8000000000000003</v>
      </c>
    </row>
    <row r="29" spans="9:31" ht="15" customHeight="1" x14ac:dyDescent="0.3"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</row>
    <row r="30" spans="9:31" ht="16.5" customHeight="1" x14ac:dyDescent="0.3"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9:31" x14ac:dyDescent="0.3"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9:31" x14ac:dyDescent="0.3"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3" x14ac:dyDescent="0.3"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3" x14ac:dyDescent="0.3"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3" x14ac:dyDescent="0.3"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3" x14ac:dyDescent="0.3"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3" x14ac:dyDescent="0.3"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23" ht="15" thickBot="1" x14ac:dyDescent="0.35">
      <c r="A38" s="84"/>
      <c r="B38" s="84"/>
      <c r="C38" s="84"/>
      <c r="D38" s="84"/>
      <c r="E38" s="84"/>
      <c r="F38" s="84"/>
      <c r="G38" s="84"/>
      <c r="H38" s="84"/>
      <c r="I38" s="85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</row>
    <row r="39" spans="1:23" ht="15" customHeight="1" thickBot="1" x14ac:dyDescent="0.35">
      <c r="A39" s="263" t="s">
        <v>39</v>
      </c>
      <c r="B39" s="264"/>
      <c r="C39" s="264"/>
      <c r="D39" s="264"/>
      <c r="E39" s="264"/>
      <c r="F39" s="264"/>
      <c r="G39" s="264"/>
      <c r="H39" s="264"/>
      <c r="I39" s="265"/>
      <c r="P39" s="266" t="s">
        <v>40</v>
      </c>
      <c r="Q39" s="267"/>
      <c r="R39" s="267"/>
      <c r="S39" s="267"/>
      <c r="T39" s="267"/>
      <c r="U39" s="267"/>
      <c r="V39" s="267"/>
      <c r="W39" s="268"/>
    </row>
    <row r="40" spans="1:23" x14ac:dyDescent="0.3">
      <c r="A40" s="20" t="s">
        <v>21</v>
      </c>
      <c r="B40" s="94">
        <f>'LF minimum input'!O3</f>
        <v>1.1000000000000001</v>
      </c>
      <c r="C40" s="95">
        <f>'LF minimum input'!P3</f>
        <v>1.1000000000000001</v>
      </c>
      <c r="D40" s="96">
        <f>'LF minimum input'!Q3</f>
        <v>1.05</v>
      </c>
      <c r="E40" s="97">
        <f>'LF minimum input'!R3</f>
        <v>0.95</v>
      </c>
      <c r="F40" s="98">
        <f>'LF minimum input'!T3</f>
        <v>0.9</v>
      </c>
      <c r="G40" s="99">
        <f>'LF minimum input'!U3</f>
        <v>0.9</v>
      </c>
      <c r="H40" s="100">
        <f>'LF minimum input'!S3</f>
        <v>0.95</v>
      </c>
      <c r="I40" s="101">
        <f>B40</f>
        <v>1.1000000000000001</v>
      </c>
      <c r="P40" s="20" t="s">
        <v>21</v>
      </c>
      <c r="Q40" s="94">
        <f>'LF minimum input'!N3</f>
        <v>1</v>
      </c>
      <c r="R40" s="95">
        <f>'LF minimum input'!L3</f>
        <v>1</v>
      </c>
      <c r="S40" s="96">
        <f>'LF minimum input'!J3</f>
        <v>1</v>
      </c>
      <c r="T40" s="97">
        <f>'LF minimum input'!I3</f>
        <v>1</v>
      </c>
      <c r="U40" s="98">
        <f>'LF minimum input'!K3</f>
        <v>1</v>
      </c>
      <c r="V40" s="99">
        <f>'LF minimum input'!M3</f>
        <v>1</v>
      </c>
      <c r="W40" s="110">
        <f>Q40</f>
        <v>1</v>
      </c>
    </row>
    <row r="41" spans="1:23" x14ac:dyDescent="0.3">
      <c r="A41" s="21" t="s">
        <v>22</v>
      </c>
      <c r="B41" s="86">
        <f>'LF minimum input'!O4</f>
        <v>9.9730000000000008</v>
      </c>
      <c r="C41" s="87">
        <f>'LF minimum input'!P4</f>
        <v>9.984</v>
      </c>
      <c r="D41" s="88">
        <f>'LF minimum input'!Q4</f>
        <v>9.8640000000000008</v>
      </c>
      <c r="E41" s="89">
        <f>'LF minimum input'!R4</f>
        <v>9.3520000000000003</v>
      </c>
      <c r="F41" s="90">
        <f>'LF minimum input'!T4</f>
        <v>9.3539999999999992</v>
      </c>
      <c r="G41" s="91">
        <f>'LF minimum input'!U4</f>
        <v>9.3520000000000003</v>
      </c>
      <c r="H41" s="92">
        <f>'LF minimum input'!S4</f>
        <v>9.1530000000000005</v>
      </c>
      <c r="I41" s="93">
        <f t="shared" ref="I41:I42" si="0">B41</f>
        <v>9.9730000000000008</v>
      </c>
      <c r="P41" s="21" t="s">
        <v>22</v>
      </c>
      <c r="Q41" s="86">
        <f>'LF minimum input'!N4</f>
        <v>-7.0000000000000001E-3</v>
      </c>
      <c r="R41" s="87">
        <f>'LF minimum input'!L4</f>
        <v>2</v>
      </c>
      <c r="S41" s="88">
        <f>'LF minimum input'!J4</f>
        <v>9.9309999999999992</v>
      </c>
      <c r="T41" s="89">
        <f>'LF minimum input'!I4</f>
        <v>10.013</v>
      </c>
      <c r="U41" s="90">
        <f>'LF minimum input'!K4</f>
        <v>9.8520000000000003</v>
      </c>
      <c r="V41" s="91">
        <f>'LF minimum input'!M4</f>
        <v>2</v>
      </c>
      <c r="W41" s="111">
        <f t="shared" ref="W41:W42" si="1">Q41</f>
        <v>-7.0000000000000001E-3</v>
      </c>
    </row>
    <row r="42" spans="1:23" ht="15" thickBot="1" x14ac:dyDescent="0.35">
      <c r="A42" s="22" t="s">
        <v>23</v>
      </c>
      <c r="B42" s="102">
        <f>'LF minimum input'!O5</f>
        <v>-3.34</v>
      </c>
      <c r="C42" s="103">
        <f>'LF minimum input'!P5</f>
        <v>2E-3</v>
      </c>
      <c r="D42" s="104">
        <f>'LF minimum input'!Q5</f>
        <v>3.32</v>
      </c>
      <c r="E42" s="105">
        <f>'LF minimum input'!R5</f>
        <v>3.3079999999999998</v>
      </c>
      <c r="F42" s="106">
        <f>'LF minimum input'!T5</f>
        <v>2.5</v>
      </c>
      <c r="G42" s="107">
        <f>'LF minimum input'!U5</f>
        <v>0</v>
      </c>
      <c r="H42" s="108">
        <f>'LF minimum input'!S5</f>
        <v>-3.31</v>
      </c>
      <c r="I42" s="109">
        <f t="shared" si="0"/>
        <v>-3.34</v>
      </c>
      <c r="P42" s="22" t="s">
        <v>23</v>
      </c>
      <c r="Q42" s="102">
        <f>'LF minimum input'!N5</f>
        <v>-2E-3</v>
      </c>
      <c r="R42" s="103">
        <f>'LF minimum input'!L5</f>
        <v>-3.29</v>
      </c>
      <c r="S42" s="104">
        <f>'LF minimum input'!J5</f>
        <v>-3.2949999999999999</v>
      </c>
      <c r="T42" s="105">
        <f>'LF minimum input'!I5</f>
        <v>-2E-3</v>
      </c>
      <c r="U42" s="106">
        <f>'LF minimum input'!K5</f>
        <v>3.3130000000000002</v>
      </c>
      <c r="V42" s="107">
        <f>'LF minimum input'!M5</f>
        <v>3.3090000000000002</v>
      </c>
      <c r="W42" s="112">
        <f t="shared" si="1"/>
        <v>-2E-3</v>
      </c>
    </row>
    <row r="43" spans="1:23" x14ac:dyDescent="0.3">
      <c r="B43" s="18"/>
      <c r="C43" s="18"/>
      <c r="D43" s="18"/>
      <c r="E43" s="19"/>
      <c r="F43" s="19"/>
      <c r="G43" s="19"/>
    </row>
    <row r="44" spans="1:23" x14ac:dyDescent="0.3">
      <c r="B44" s="18"/>
      <c r="C44" s="18"/>
      <c r="D44" s="18"/>
      <c r="E44" s="19"/>
      <c r="F44" s="19"/>
      <c r="G44" s="19"/>
    </row>
    <row r="45" spans="1:23" x14ac:dyDescent="0.3">
      <c r="B45" s="18"/>
      <c r="C45" s="18"/>
      <c r="D45" s="18"/>
      <c r="E45" s="19"/>
      <c r="F45" s="19"/>
      <c r="G45" s="19"/>
    </row>
  </sheetData>
  <sheetProtection algorithmName="SHA-512" hashValue="zd6CAgfIrU4mQQx8pFRpRDcQ2RtcnKA3prAli8dZT8INYTHDkXfI8KXFAFNqDRafycu51DuI3XvOwLJ7SITQjg==" saltValue="hM95TRBjrlgjgNbkOM9NXQ==" spinCount="100000" sheet="1" objects="1" scenarios="1"/>
  <mergeCells count="2">
    <mergeCell ref="A39:I39"/>
    <mergeCell ref="P39:W39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C1308-C708-43FC-8461-18CAC6956CD5}">
  <dimension ref="A37:Q45"/>
  <sheetViews>
    <sheetView topLeftCell="A6" zoomScale="70" zoomScaleNormal="70" workbookViewId="0">
      <selection activeCell="B40" sqref="B40:Q43"/>
    </sheetView>
  </sheetViews>
  <sheetFormatPr defaultRowHeight="14.4" x14ac:dyDescent="0.3"/>
  <cols>
    <col min="1" max="1" width="44.109375" customWidth="1"/>
  </cols>
  <sheetData>
    <row r="37" spans="1:17" ht="15" thickBot="1" x14ac:dyDescent="0.35"/>
    <row r="38" spans="1:17" ht="15.6" thickTop="1" thickBot="1" x14ac:dyDescent="0.35">
      <c r="A38" s="113" t="s">
        <v>38</v>
      </c>
      <c r="B38" s="117" t="s">
        <v>32</v>
      </c>
      <c r="C38" s="117" t="s">
        <v>64</v>
      </c>
      <c r="D38" s="117" t="s">
        <v>65</v>
      </c>
      <c r="E38" s="117" t="s">
        <v>66</v>
      </c>
      <c r="F38" s="117" t="s">
        <v>67</v>
      </c>
      <c r="G38" s="117" t="s">
        <v>68</v>
      </c>
      <c r="H38" s="117" t="s">
        <v>69</v>
      </c>
      <c r="I38" s="117" t="s">
        <v>70</v>
      </c>
      <c r="J38" s="117" t="s">
        <v>71</v>
      </c>
      <c r="K38" s="117" t="s">
        <v>72</v>
      </c>
      <c r="L38" s="117" t="s">
        <v>73</v>
      </c>
      <c r="M38" s="117" t="s">
        <v>74</v>
      </c>
      <c r="N38" s="117" t="s">
        <v>75</v>
      </c>
      <c r="O38" s="117" t="s">
        <v>76</v>
      </c>
      <c r="P38" s="213" t="s">
        <v>62</v>
      </c>
      <c r="Q38" s="118" t="s">
        <v>63</v>
      </c>
    </row>
    <row r="39" spans="1:17" x14ac:dyDescent="0.3">
      <c r="A39" s="114" t="str">
        <f>'LF minimum input'!H3</f>
        <v>Uc grid voltage (p.u.)</v>
      </c>
      <c r="B39" s="119">
        <f>'LF minimum input'!I3</f>
        <v>1</v>
      </c>
      <c r="C39" s="119">
        <f>'LF minimum input'!J3</f>
        <v>1</v>
      </c>
      <c r="D39" s="119">
        <f>'LF minimum input'!K3</f>
        <v>1</v>
      </c>
      <c r="E39" s="119">
        <f>'LF minimum input'!L3</f>
        <v>1</v>
      </c>
      <c r="F39" s="119">
        <f>'LF minimum input'!M3</f>
        <v>1</v>
      </c>
      <c r="G39" s="119">
        <f>'LF minimum input'!N3</f>
        <v>1</v>
      </c>
      <c r="H39" s="119">
        <f>'LF minimum input'!O3</f>
        <v>1.1000000000000001</v>
      </c>
      <c r="I39" s="119">
        <f>'LF minimum input'!P3</f>
        <v>1.1000000000000001</v>
      </c>
      <c r="J39" s="119">
        <f>'LF minimum input'!Q3</f>
        <v>1.05</v>
      </c>
      <c r="K39" s="119">
        <f>'LF minimum input'!R3</f>
        <v>0.95</v>
      </c>
      <c r="L39" s="119">
        <f>'LF minimum input'!S3</f>
        <v>0.95</v>
      </c>
      <c r="M39" s="119">
        <f>'LF minimum input'!T3</f>
        <v>0.9</v>
      </c>
      <c r="N39" s="119">
        <f>'LF minimum input'!U3</f>
        <v>0.9</v>
      </c>
      <c r="O39" s="119">
        <f>'LF minimum input'!V3</f>
        <v>0.85</v>
      </c>
      <c r="P39" s="212">
        <f>'LF minimum input'!W3</f>
        <v>1</v>
      </c>
      <c r="Q39" s="120">
        <f>'LF minimum input'!X3</f>
        <v>1</v>
      </c>
    </row>
    <row r="40" spans="1:17" x14ac:dyDescent="0.3">
      <c r="A40" s="115" t="str">
        <f>'LF minimum input'!H14</f>
        <v>Maximum apparent power unit (p.u.)</v>
      </c>
      <c r="B40" s="71">
        <f>'LF minimum input'!I14</f>
        <v>0.94418604651162785</v>
      </c>
      <c r="C40" s="71">
        <f>'LF minimum input'!J14</f>
        <v>0.97209302325581393</v>
      </c>
      <c r="D40" s="71">
        <f>'LF minimum input'!K14</f>
        <v>1</v>
      </c>
      <c r="E40" s="71">
        <f>'LF minimum input'!L14</f>
        <v>0.35348837209302325</v>
      </c>
      <c r="F40" s="71">
        <f>'LF minimum input'!M14</f>
        <v>0.36744186046511629</v>
      </c>
      <c r="G40" s="71">
        <f>'LF minimum input'!N14</f>
        <v>0</v>
      </c>
      <c r="H40" s="71">
        <f>'LF minimum input'!O14</f>
        <v>0.97674418604651159</v>
      </c>
      <c r="I40" s="71">
        <f>'LF minimum input'!P14</f>
        <v>0.93953488372093019</v>
      </c>
      <c r="J40" s="71">
        <f>'LF minimum input'!Q14</f>
        <v>1</v>
      </c>
      <c r="K40" s="71">
        <f>'LF minimum input'!R14</f>
        <v>0.95813953488372094</v>
      </c>
      <c r="L40" s="71">
        <f>'LF minimum input'!S14</f>
        <v>0.89767441860465114</v>
      </c>
      <c r="M40" s="71">
        <f>'LF minimum input'!T14</f>
        <v>0.88372093023255816</v>
      </c>
      <c r="N40" s="71">
        <f>'LF minimum input'!U14</f>
        <v>0.91627906976744189</v>
      </c>
      <c r="O40" s="71">
        <f>'LF minimum input'!V14</f>
        <v>0.86046511627906974</v>
      </c>
      <c r="P40" s="181">
        <f>'LF minimum input'!W14</f>
        <v>0.97209302325581393</v>
      </c>
      <c r="Q40" s="79">
        <f>'LF minimum input'!X14</f>
        <v>1</v>
      </c>
    </row>
    <row r="41" spans="1:17" x14ac:dyDescent="0.3">
      <c r="A41" s="114" t="str">
        <f>'LF minimum input'!H15</f>
        <v>Maximum voltage unit (p.u.)</v>
      </c>
      <c r="B41" s="25">
        <f>'LF minimum input'!I15</f>
        <v>0.998</v>
      </c>
      <c r="C41" s="25">
        <f>'LF minimum input'!J15</f>
        <v>0.97799999999999998</v>
      </c>
      <c r="D41" s="25">
        <f>'LF minimum input'!K15</f>
        <v>1.018</v>
      </c>
      <c r="E41" s="25">
        <f>'LF minimum input'!L15</f>
        <v>0.96099999999999997</v>
      </c>
      <c r="F41" s="25">
        <f>'LF minimum input'!M15</f>
        <v>1.0009999999999999</v>
      </c>
      <c r="G41" s="25">
        <f>'LF minimum input'!N15</f>
        <v>0.97699999999999998</v>
      </c>
      <c r="H41" s="25">
        <f>'LF minimum input'!O15</f>
        <v>1.075</v>
      </c>
      <c r="I41" s="25">
        <f>'LF minimum input'!P15</f>
        <v>1.093</v>
      </c>
      <c r="J41" s="25">
        <f>'LF minimum input'!Q15</f>
        <v>1.0649999999999999</v>
      </c>
      <c r="K41" s="25">
        <f>'LF minimum input'!R15</f>
        <v>0.97</v>
      </c>
      <c r="L41" s="25">
        <f>'LF minimum input'!S15</f>
        <v>0.91400000000000003</v>
      </c>
      <c r="M41" s="25">
        <f>'LF minimum input'!T15</f>
        <v>0.90200000000000002</v>
      </c>
      <c r="N41" s="25">
        <f>'LF minimum input'!U15</f>
        <v>0.92800000000000016</v>
      </c>
      <c r="O41" s="25">
        <f>'LF minimum input'!V15</f>
        <v>0.873</v>
      </c>
      <c r="P41" s="183">
        <f>'LF minimum input'!W15</f>
        <v>0.97750000000000004</v>
      </c>
      <c r="Q41" s="46">
        <f>'LF minimum input'!X15</f>
        <v>1.0175000000000001</v>
      </c>
    </row>
    <row r="42" spans="1:17" x14ac:dyDescent="0.3">
      <c r="A42" s="114" t="str">
        <f>'LF minimum input'!H16</f>
        <v>Minimum voltage unit (p.u.)</v>
      </c>
      <c r="B42" s="25">
        <f>'LF minimum input'!I16</f>
        <v>0.98699999999999999</v>
      </c>
      <c r="C42" s="25">
        <f>'LF minimum input'!J16</f>
        <v>0.96799999999999997</v>
      </c>
      <c r="D42" s="25">
        <f>'LF minimum input'!K16</f>
        <v>1.004</v>
      </c>
      <c r="E42" s="25">
        <f>'LF minimum input'!L16</f>
        <v>0.96</v>
      </c>
      <c r="F42" s="25">
        <f>'LF minimum input'!M16</f>
        <v>0.997</v>
      </c>
      <c r="G42" s="25">
        <f>'LF minimum input'!N16</f>
        <v>0.97699999999999998</v>
      </c>
      <c r="H42" s="25">
        <f>'LF minimum input'!O16</f>
        <v>1.0660000000000001</v>
      </c>
      <c r="I42" s="25">
        <f>'LF minimum input'!P16</f>
        <v>1.083</v>
      </c>
      <c r="J42" s="25">
        <f>'LF minimum input'!Q16</f>
        <v>1.052</v>
      </c>
      <c r="K42" s="25">
        <f>'LF minimum input'!R16</f>
        <v>0.95599999999999996</v>
      </c>
      <c r="L42" s="25">
        <f>'LF minimum input'!S16</f>
        <v>0.90100000000000013</v>
      </c>
      <c r="M42" s="25">
        <f>'LF minimum input'!T16</f>
        <v>0.88900000000000001</v>
      </c>
      <c r="N42" s="25">
        <f>'LF minimum input'!U16</f>
        <v>0.91900000000000004</v>
      </c>
      <c r="O42" s="25">
        <f>'LF minimum input'!V16</f>
        <v>0.86</v>
      </c>
      <c r="P42" s="183">
        <f>'LF minimum input'!W16</f>
        <v>0.96750000000000003</v>
      </c>
      <c r="Q42" s="46">
        <f>'LF minimum input'!X16</f>
        <v>1.0037499999999999</v>
      </c>
    </row>
    <row r="43" spans="1:17" ht="15" thickBot="1" x14ac:dyDescent="0.35">
      <c r="A43" s="114" t="str">
        <f>'LF minimum input'!H17</f>
        <v>Maximum current unit (p.u.)</v>
      </c>
      <c r="B43" s="25">
        <f>'LF minimum input'!I17</f>
        <v>0.95639336377330264</v>
      </c>
      <c r="C43" s="25">
        <f>'LF minimum input'!J17</f>
        <v>1.0039881745880399</v>
      </c>
      <c r="D43" s="25">
        <f>'LF minimum input'!K17</f>
        <v>0.99577774497828231</v>
      </c>
      <c r="E43" s="25">
        <f>'LF minimum input'!L17</f>
        <v>0.36812899734894794</v>
      </c>
      <c r="F43" s="25">
        <f>'LF minimum input'!M17</f>
        <v>0.36845936703458027</v>
      </c>
      <c r="G43" s="25">
        <f>'LF minimum input'!N17</f>
        <v>0</v>
      </c>
      <c r="H43" s="25">
        <f>'LF minimum input'!O17</f>
        <v>0.91605122278991691</v>
      </c>
      <c r="I43" s="25">
        <f>'LF minimum input'!P17</f>
        <v>0.86732243725892977</v>
      </c>
      <c r="J43" s="25">
        <f>'LF minimum input'!Q17</f>
        <v>0.95034301897166873</v>
      </c>
      <c r="K43" s="25">
        <f>'LF minimum input'!R17</f>
        <v>1.001998327952653</v>
      </c>
      <c r="L43" s="25">
        <f>'LF minimum input'!S17</f>
        <v>0.99607074929629458</v>
      </c>
      <c r="M43" s="25">
        <f>'LF minimum input'!T17</f>
        <v>0.99382406483405528</v>
      </c>
      <c r="N43" s="25">
        <f>'LF minimum input'!U17</f>
        <v>0.99680081293501277</v>
      </c>
      <c r="O43" s="25">
        <f>'LF minimum input'!V17</f>
        <v>1.0003015595038733</v>
      </c>
      <c r="P43" s="183">
        <f>'LF minimum input'!W17</f>
        <v>1.0045070315258116</v>
      </c>
      <c r="Q43" s="46">
        <f>'LF minimum input'!X17</f>
        <v>0.99602575936059334</v>
      </c>
    </row>
    <row r="44" spans="1:17" ht="15" thickBot="1" x14ac:dyDescent="0.35">
      <c r="A44" s="116" t="s">
        <v>41</v>
      </c>
      <c r="B44" s="121">
        <v>1</v>
      </c>
      <c r="C44" s="121">
        <v>1</v>
      </c>
      <c r="D44" s="121">
        <v>1</v>
      </c>
      <c r="E44" s="121">
        <v>1</v>
      </c>
      <c r="F44" s="121">
        <v>1</v>
      </c>
      <c r="G44" s="121">
        <v>1</v>
      </c>
      <c r="H44" s="121">
        <v>1</v>
      </c>
      <c r="I44" s="121">
        <v>1</v>
      </c>
      <c r="J44" s="121">
        <v>1</v>
      </c>
      <c r="K44" s="121">
        <v>1</v>
      </c>
      <c r="L44" s="121">
        <v>1</v>
      </c>
      <c r="M44" s="121">
        <v>1</v>
      </c>
      <c r="N44" s="121">
        <v>1</v>
      </c>
      <c r="O44" s="121">
        <v>1</v>
      </c>
      <c r="P44" s="211">
        <v>1</v>
      </c>
      <c r="Q44" s="122">
        <v>1</v>
      </c>
    </row>
    <row r="45" spans="1:17" ht="15" thickTop="1" x14ac:dyDescent="0.3"/>
  </sheetData>
  <sheetProtection algorithmName="SHA-512" hashValue="EOFAHV6zTyOzcDzqFcryhu3UXnE0UQ0/Tt9zjBVa7MhZSLf+uRrh6JP256gTra3BGDHR8vORVGB6DRScFAKSMw==" saltValue="p8hMJmm5+zO7geTkHIV48g==" spinCount="100000" sheet="1" objects="1" scenarios="1"/>
  <conditionalFormatting sqref="B40:Q40">
    <cfRule type="cellIs" dxfId="23" priority="5" operator="lessThanOrEqual">
      <formula>1.005</formula>
    </cfRule>
    <cfRule type="cellIs" dxfId="22" priority="6" operator="greaterThan">
      <formula>1.005</formula>
    </cfRule>
  </conditionalFormatting>
  <conditionalFormatting sqref="B43:Q43">
    <cfRule type="cellIs" dxfId="17" priority="8" operator="greaterThan">
      <formula>1.005</formula>
    </cfRule>
    <cfRule type="cellIs" dxfId="16" priority="9" operator="lessThanOrEqual">
      <formula>1.005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greaterThan" id="{4B54C922-0354-4620-9F41-CC9C3385EFF4}">
            <xm:f>'LF minimum input'!$I$18*1.005</xm:f>
            <x14:dxf>
              <fill>
                <patternFill>
                  <bgColor rgb="FFFF0000"/>
                </patternFill>
              </fill>
            </x14:dxf>
          </x14:cfRule>
          <x14:cfRule type="cellIs" priority="4" operator="lessThanOrEqual" id="{88FEE935-1B9E-478E-BB51-05E1BFDA473E}">
            <xm:f>'LF minimum input'!$I$18*1.005</xm:f>
            <x14:dxf>
              <fill>
                <patternFill>
                  <bgColor rgb="FF92D050"/>
                </patternFill>
              </fill>
            </x14:dxf>
          </x14:cfRule>
          <xm:sqref>B41:Q41</xm:sqref>
        </x14:conditionalFormatting>
        <x14:conditionalFormatting xmlns:xm="http://schemas.microsoft.com/office/excel/2006/main">
          <x14:cfRule type="cellIs" priority="1" operator="greaterThanOrEqual" id="{3D6BCDE9-BA70-4C20-8D6B-43D44C59672A}">
            <xm:f>'LF minimum input'!$I$19*0.995</xm:f>
            <x14:dxf>
              <fill>
                <patternFill>
                  <bgColor rgb="FF92D050"/>
                </patternFill>
              </fill>
            </x14:dxf>
          </x14:cfRule>
          <x14:cfRule type="cellIs" priority="2" operator="lessThan" id="{9003D25E-0393-49D9-8299-41F641AF01FD}">
            <xm:f>'LF minimum input'!$I$19*0.995</xm:f>
            <x14:dxf>
              <fill>
                <patternFill>
                  <bgColor rgb="FFFF0000"/>
                </patternFill>
              </fill>
            </x14:dxf>
          </x14:cfRule>
          <xm:sqref>B42:Q42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B41B0-9521-4361-BE34-165652EAE81D}">
  <dimension ref="A37:Q45"/>
  <sheetViews>
    <sheetView topLeftCell="A6" zoomScale="70" zoomScaleNormal="70" workbookViewId="0">
      <selection activeCell="B40" sqref="B40:Q43"/>
    </sheetView>
  </sheetViews>
  <sheetFormatPr defaultRowHeight="14.4" x14ac:dyDescent="0.3"/>
  <cols>
    <col min="1" max="1" width="44.109375" customWidth="1"/>
  </cols>
  <sheetData>
    <row r="37" spans="1:17" ht="15" thickBot="1" x14ac:dyDescent="0.35"/>
    <row r="38" spans="1:17" ht="15.6" thickTop="1" thickBot="1" x14ac:dyDescent="0.35">
      <c r="A38" s="113" t="s">
        <v>38</v>
      </c>
      <c r="B38" s="117" t="s">
        <v>32</v>
      </c>
      <c r="C38" s="117" t="s">
        <v>64</v>
      </c>
      <c r="D38" s="117" t="s">
        <v>65</v>
      </c>
      <c r="E38" s="117" t="s">
        <v>66</v>
      </c>
      <c r="F38" s="117" t="s">
        <v>67</v>
      </c>
      <c r="G38" s="117" t="s">
        <v>68</v>
      </c>
      <c r="H38" s="117" t="s">
        <v>69</v>
      </c>
      <c r="I38" s="117" t="s">
        <v>70</v>
      </c>
      <c r="J38" s="117" t="s">
        <v>71</v>
      </c>
      <c r="K38" s="117" t="s">
        <v>72</v>
      </c>
      <c r="L38" s="117" t="s">
        <v>73</v>
      </c>
      <c r="M38" s="117" t="s">
        <v>74</v>
      </c>
      <c r="N38" s="117" t="s">
        <v>75</v>
      </c>
      <c r="O38" s="117" t="s">
        <v>76</v>
      </c>
      <c r="P38" s="213" t="s">
        <v>62</v>
      </c>
      <c r="Q38" s="118" t="s">
        <v>63</v>
      </c>
    </row>
    <row r="39" spans="1:17" x14ac:dyDescent="0.3">
      <c r="A39" s="114" t="str">
        <f>'LF minimum input'!H3</f>
        <v>Uc grid voltage (p.u.)</v>
      </c>
      <c r="B39" s="119">
        <f>'LF minimum input'!I3</f>
        <v>1</v>
      </c>
      <c r="C39" s="119">
        <f>'LF minimum input'!J3</f>
        <v>1</v>
      </c>
      <c r="D39" s="119">
        <f>'LF minimum input'!K3</f>
        <v>1</v>
      </c>
      <c r="E39" s="119">
        <f>'LF minimum input'!L3</f>
        <v>1</v>
      </c>
      <c r="F39" s="119">
        <f>'LF minimum input'!M3</f>
        <v>1</v>
      </c>
      <c r="G39" s="119">
        <f>'LF minimum input'!N3</f>
        <v>1</v>
      </c>
      <c r="H39" s="119">
        <f>'LF minimum input'!O3</f>
        <v>1.1000000000000001</v>
      </c>
      <c r="I39" s="119">
        <f>'LF minimum input'!P3</f>
        <v>1.1000000000000001</v>
      </c>
      <c r="J39" s="119">
        <f>'LF minimum input'!Q3</f>
        <v>1.05</v>
      </c>
      <c r="K39" s="119">
        <f>'LF minimum input'!R3</f>
        <v>0.95</v>
      </c>
      <c r="L39" s="119">
        <f>'LF minimum input'!S3</f>
        <v>0.95</v>
      </c>
      <c r="M39" s="119">
        <f>'LF minimum input'!T3</f>
        <v>0.9</v>
      </c>
      <c r="N39" s="119">
        <f>'LF minimum input'!U3</f>
        <v>0.9</v>
      </c>
      <c r="O39" s="119">
        <f>'LF minimum input'!V3</f>
        <v>0.85</v>
      </c>
      <c r="P39" s="212">
        <f>'LF minimum input'!W3</f>
        <v>1</v>
      </c>
      <c r="Q39" s="120">
        <f>'LF minimum input'!X3</f>
        <v>1</v>
      </c>
    </row>
    <row r="40" spans="1:17" x14ac:dyDescent="0.3">
      <c r="A40" s="115" t="str">
        <f>'LF minimum input'!H14</f>
        <v>Maximum apparent power unit (p.u.)</v>
      </c>
      <c r="B40" s="71">
        <f>'LF minimum input'!I25</f>
        <v>0.94418604651162785</v>
      </c>
      <c r="C40" s="71">
        <f>'LF minimum input'!J25</f>
        <v>0.97209302325581393</v>
      </c>
      <c r="D40" s="71">
        <f>'LF minimum input'!K25</f>
        <v>1</v>
      </c>
      <c r="E40" s="71">
        <f>'LF minimum input'!L25</f>
        <v>0.35348837209302325</v>
      </c>
      <c r="F40" s="71">
        <f>'LF minimum input'!M25</f>
        <v>0.36744186046511629</v>
      </c>
      <c r="G40" s="71">
        <f>'LF minimum input'!N25</f>
        <v>0</v>
      </c>
      <c r="H40" s="71">
        <f>'LF minimum input'!O25</f>
        <v>0.97674418604651159</v>
      </c>
      <c r="I40" s="71">
        <f>'LF minimum input'!P25</f>
        <v>0.93953488372093019</v>
      </c>
      <c r="J40" s="71">
        <f>'LF minimum input'!Q25</f>
        <v>1</v>
      </c>
      <c r="K40" s="71">
        <f>'LF minimum input'!R25</f>
        <v>0.95813953488372094</v>
      </c>
      <c r="L40" s="71">
        <f>'LF minimum input'!S25</f>
        <v>0.89767441860465114</v>
      </c>
      <c r="M40" s="71">
        <f>'LF minimum input'!T25</f>
        <v>0.88372093023255816</v>
      </c>
      <c r="N40" s="71">
        <f>'LF minimum input'!U25</f>
        <v>0.91627906976744189</v>
      </c>
      <c r="O40" s="71">
        <f>'LF minimum input'!V25</f>
        <v>0.86046511627906974</v>
      </c>
      <c r="P40" s="181">
        <f>'LF minimum input'!W25</f>
        <v>0.97209302325581393</v>
      </c>
      <c r="Q40" s="79">
        <f>'LF minimum input'!X25</f>
        <v>1</v>
      </c>
    </row>
    <row r="41" spans="1:17" x14ac:dyDescent="0.3">
      <c r="A41" s="114" t="str">
        <f>'LF minimum input'!H15</f>
        <v>Maximum voltage unit (p.u.)</v>
      </c>
      <c r="B41" s="25">
        <f>'LF minimum input'!I26</f>
        <v>0.998</v>
      </c>
      <c r="C41" s="25">
        <f>'LF minimum input'!J26</f>
        <v>0.97799999999999998</v>
      </c>
      <c r="D41" s="25">
        <f>'LF minimum input'!K26</f>
        <v>1.018</v>
      </c>
      <c r="E41" s="25">
        <f>'LF minimum input'!L26</f>
        <v>0.96099999999999997</v>
      </c>
      <c r="F41" s="25">
        <f>'LF minimum input'!M26</f>
        <v>1.0009999999999999</v>
      </c>
      <c r="G41" s="25">
        <f>'LF minimum input'!N26</f>
        <v>0.97699999999999998</v>
      </c>
      <c r="H41" s="25">
        <f>'LF minimum input'!O26</f>
        <v>1.075</v>
      </c>
      <c r="I41" s="25">
        <f>'LF minimum input'!P26</f>
        <v>1.093</v>
      </c>
      <c r="J41" s="25">
        <f>'LF minimum input'!Q26</f>
        <v>1.0649999999999999</v>
      </c>
      <c r="K41" s="25">
        <f>'LF minimum input'!R26</f>
        <v>0.97</v>
      </c>
      <c r="L41" s="25">
        <f>'LF minimum input'!S26</f>
        <v>0.91400000000000003</v>
      </c>
      <c r="M41" s="25">
        <f>'LF minimum input'!T26</f>
        <v>0.90200000000000002</v>
      </c>
      <c r="N41" s="25">
        <f>'LF minimum input'!U26</f>
        <v>0.92800000000000016</v>
      </c>
      <c r="O41" s="25">
        <f>'LF minimum input'!V26</f>
        <v>0.873</v>
      </c>
      <c r="P41" s="183">
        <f>'LF minimum input'!W26</f>
        <v>0.97750000000000004</v>
      </c>
      <c r="Q41" s="46">
        <f>'LF minimum input'!X26</f>
        <v>1.0175000000000001</v>
      </c>
    </row>
    <row r="42" spans="1:17" x14ac:dyDescent="0.3">
      <c r="A42" s="114" t="str">
        <f>'LF minimum input'!H16</f>
        <v>Minimum voltage unit (p.u.)</v>
      </c>
      <c r="B42" s="25">
        <f>'LF minimum input'!I27</f>
        <v>0.98699999999999999</v>
      </c>
      <c r="C42" s="25">
        <f>'LF minimum input'!J27</f>
        <v>0.96799999999999997</v>
      </c>
      <c r="D42" s="25">
        <f>'LF minimum input'!K27</f>
        <v>1.004</v>
      </c>
      <c r="E42" s="25">
        <f>'LF minimum input'!L27</f>
        <v>0.96</v>
      </c>
      <c r="F42" s="25">
        <f>'LF minimum input'!M27</f>
        <v>0.997</v>
      </c>
      <c r="G42" s="25">
        <f>'LF minimum input'!N27</f>
        <v>0.97699999999999998</v>
      </c>
      <c r="H42" s="25">
        <f>'LF minimum input'!O27</f>
        <v>1.0660000000000001</v>
      </c>
      <c r="I42" s="25">
        <f>'LF minimum input'!P27</f>
        <v>1.083</v>
      </c>
      <c r="J42" s="25">
        <f>'LF minimum input'!Q27</f>
        <v>1.052</v>
      </c>
      <c r="K42" s="25">
        <f>'LF minimum input'!R27</f>
        <v>0.95599999999999996</v>
      </c>
      <c r="L42" s="25">
        <f>'LF minimum input'!S27</f>
        <v>0.90100000000000013</v>
      </c>
      <c r="M42" s="25">
        <f>'LF minimum input'!T27</f>
        <v>0.88900000000000001</v>
      </c>
      <c r="N42" s="25">
        <f>'LF minimum input'!U27</f>
        <v>0.91900000000000004</v>
      </c>
      <c r="O42" s="25">
        <f>'LF minimum input'!V27</f>
        <v>0.86</v>
      </c>
      <c r="P42" s="183">
        <f>'LF minimum input'!W27</f>
        <v>0.96750000000000003</v>
      </c>
      <c r="Q42" s="46">
        <f>'LF minimum input'!X27</f>
        <v>1.0037499999999999</v>
      </c>
    </row>
    <row r="43" spans="1:17" ht="15" thickBot="1" x14ac:dyDescent="0.35">
      <c r="A43" s="114" t="str">
        <f>'LF minimum input'!H17</f>
        <v>Maximum current unit (p.u.)</v>
      </c>
      <c r="B43" s="25">
        <f>'LF minimum input'!I28</f>
        <v>0.95639336377330264</v>
      </c>
      <c r="C43" s="25">
        <f>'LF minimum input'!J28</f>
        <v>1.0039881745880399</v>
      </c>
      <c r="D43" s="25">
        <f>'LF minimum input'!K28</f>
        <v>0.99577774497828231</v>
      </c>
      <c r="E43" s="25">
        <f>'LF minimum input'!L28</f>
        <v>0.36812899734894794</v>
      </c>
      <c r="F43" s="25">
        <f>'LF minimum input'!M28</f>
        <v>0.36845936703458027</v>
      </c>
      <c r="G43" s="25">
        <f>'LF minimum input'!N28</f>
        <v>0</v>
      </c>
      <c r="H43" s="25">
        <f>'LF minimum input'!O28</f>
        <v>0.91605122278991691</v>
      </c>
      <c r="I43" s="25">
        <f>'LF minimum input'!P28</f>
        <v>0.86732243725892977</v>
      </c>
      <c r="J43" s="25">
        <f>'LF minimum input'!Q28</f>
        <v>0.95034301897166873</v>
      </c>
      <c r="K43" s="25">
        <f>'LF minimum input'!R28</f>
        <v>1.001998327952653</v>
      </c>
      <c r="L43" s="25">
        <f>'LF minimum input'!S28</f>
        <v>0.99607074929629458</v>
      </c>
      <c r="M43" s="25">
        <f>'LF minimum input'!T28</f>
        <v>0.99382406483405528</v>
      </c>
      <c r="N43" s="25">
        <f>'LF minimum input'!U28</f>
        <v>0.99680081293501277</v>
      </c>
      <c r="O43" s="25">
        <f>'LF minimum input'!V28</f>
        <v>1.0003015595038733</v>
      </c>
      <c r="P43" s="183">
        <f>'LF minimum input'!W28</f>
        <v>1.0045070315258116</v>
      </c>
      <c r="Q43" s="46">
        <f>'LF minimum input'!X28</f>
        <v>0.99602575936059334</v>
      </c>
    </row>
    <row r="44" spans="1:17" ht="15" thickBot="1" x14ac:dyDescent="0.35">
      <c r="A44" s="116" t="s">
        <v>41</v>
      </c>
      <c r="B44" s="121">
        <v>1</v>
      </c>
      <c r="C44" s="121">
        <v>1</v>
      </c>
      <c r="D44" s="121">
        <v>1</v>
      </c>
      <c r="E44" s="121">
        <v>1</v>
      </c>
      <c r="F44" s="121">
        <v>1</v>
      </c>
      <c r="G44" s="121">
        <v>1</v>
      </c>
      <c r="H44" s="121">
        <v>1</v>
      </c>
      <c r="I44" s="121">
        <v>1</v>
      </c>
      <c r="J44" s="121">
        <v>1</v>
      </c>
      <c r="K44" s="121">
        <v>1</v>
      </c>
      <c r="L44" s="121">
        <v>1</v>
      </c>
      <c r="M44" s="121">
        <v>1</v>
      </c>
      <c r="N44" s="121">
        <v>1</v>
      </c>
      <c r="O44" s="121">
        <v>1</v>
      </c>
      <c r="P44" s="211">
        <v>1</v>
      </c>
      <c r="Q44" s="122">
        <v>1</v>
      </c>
    </row>
    <row r="45" spans="1:17" ht="15" thickTop="1" x14ac:dyDescent="0.3"/>
  </sheetData>
  <sheetProtection algorithmName="SHA-512" hashValue="w5BAg6+JLFHXzkggbbmTMEY/b3bEv5H9jGzNSxvG02YMCMrPNNHlaCkROHKX2wnq4ZHJfu3Y+YpoXq6fY4Ltyw==" saltValue="2722lSSvei9ACqUS+R4gKQ==" spinCount="100000" sheet="1" objects="1" scenarios="1"/>
  <conditionalFormatting sqref="B40:Q40">
    <cfRule type="cellIs" dxfId="15" priority="5" operator="lessThanOrEqual">
      <formula>1.005</formula>
    </cfRule>
    <cfRule type="cellIs" dxfId="14" priority="6" operator="greaterThan">
      <formula>1.005</formula>
    </cfRule>
  </conditionalFormatting>
  <conditionalFormatting sqref="B43:Q43">
    <cfRule type="cellIs" dxfId="9" priority="7" operator="greaterThan">
      <formula>1.005</formula>
    </cfRule>
    <cfRule type="cellIs" dxfId="8" priority="8" operator="lessThanOrEqual">
      <formula>1.005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greaterThan" id="{7A6DA81D-D062-4F56-97CB-10CAB3B6505B}">
            <xm:f>'LF minimum input'!$I$18*1.005</xm:f>
            <x14:dxf>
              <fill>
                <patternFill>
                  <bgColor rgb="FFFF0000"/>
                </patternFill>
              </fill>
            </x14:dxf>
          </x14:cfRule>
          <x14:cfRule type="cellIs" priority="4" operator="lessThanOrEqual" id="{8A620572-CAD7-4B41-B3F0-A694E39AAFDE}">
            <xm:f>'LF minimum input'!$I$18*1.005</xm:f>
            <x14:dxf>
              <fill>
                <patternFill>
                  <bgColor rgb="FF92D050"/>
                </patternFill>
              </fill>
            </x14:dxf>
          </x14:cfRule>
          <xm:sqref>B41:Q41</xm:sqref>
        </x14:conditionalFormatting>
        <x14:conditionalFormatting xmlns:xm="http://schemas.microsoft.com/office/excel/2006/main">
          <x14:cfRule type="cellIs" priority="1" operator="greaterThanOrEqual" id="{1090393A-12C2-4D5C-9BEE-5F209BA05A49}">
            <xm:f>'LF minimum input'!$I$19*0.995</xm:f>
            <x14:dxf>
              <fill>
                <patternFill>
                  <bgColor rgb="FF92D050"/>
                </patternFill>
              </fill>
            </x14:dxf>
          </x14:cfRule>
          <x14:cfRule type="cellIs" priority="2" operator="lessThan" id="{EB3F9708-DF76-4BEF-B5D3-6EDEAE29A0DE}">
            <xm:f>'LF minimum input'!$I$19*0.995</xm:f>
            <x14:dxf>
              <fill>
                <patternFill>
                  <bgColor rgb="FFFF0000"/>
                </patternFill>
              </fill>
            </x14:dxf>
          </x14:cfRule>
          <xm:sqref>B42:Q42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5AB7F-F76D-40DD-810C-3C774D69849D}">
  <dimension ref="A37:Q45"/>
  <sheetViews>
    <sheetView topLeftCell="A7" zoomScale="70" zoomScaleNormal="70" workbookViewId="0">
      <selection activeCell="J47" sqref="J47"/>
    </sheetView>
  </sheetViews>
  <sheetFormatPr defaultRowHeight="14.4" x14ac:dyDescent="0.3"/>
  <cols>
    <col min="1" max="1" width="44.109375" customWidth="1"/>
  </cols>
  <sheetData>
    <row r="37" spans="1:17" ht="15" thickBot="1" x14ac:dyDescent="0.35"/>
    <row r="38" spans="1:17" ht="15.6" thickTop="1" thickBot="1" x14ac:dyDescent="0.35">
      <c r="A38" s="113" t="s">
        <v>38</v>
      </c>
      <c r="B38" s="117" t="s">
        <v>32</v>
      </c>
      <c r="C38" s="117" t="s">
        <v>64</v>
      </c>
      <c r="D38" s="117" t="s">
        <v>65</v>
      </c>
      <c r="E38" s="117" t="s">
        <v>66</v>
      </c>
      <c r="F38" s="117" t="s">
        <v>67</v>
      </c>
      <c r="G38" s="117" t="s">
        <v>68</v>
      </c>
      <c r="H38" s="117" t="s">
        <v>69</v>
      </c>
      <c r="I38" s="117" t="s">
        <v>70</v>
      </c>
      <c r="J38" s="117" t="s">
        <v>71</v>
      </c>
      <c r="K38" s="117" t="s">
        <v>72</v>
      </c>
      <c r="L38" s="117" t="s">
        <v>73</v>
      </c>
      <c r="M38" s="117" t="s">
        <v>74</v>
      </c>
      <c r="N38" s="117" t="s">
        <v>75</v>
      </c>
      <c r="O38" s="117" t="s">
        <v>76</v>
      </c>
      <c r="P38" s="213" t="s">
        <v>62</v>
      </c>
      <c r="Q38" s="118" t="s">
        <v>63</v>
      </c>
    </row>
    <row r="39" spans="1:17" x14ac:dyDescent="0.3">
      <c r="A39" s="114" t="str">
        <f>'LF minimum input'!H3</f>
        <v>Uc grid voltage (p.u.)</v>
      </c>
      <c r="B39" s="119">
        <f>'LF minimum input'!I3</f>
        <v>1</v>
      </c>
      <c r="C39" s="119">
        <f>'LF minimum input'!J3</f>
        <v>1</v>
      </c>
      <c r="D39" s="119">
        <f>'LF minimum input'!K3</f>
        <v>1</v>
      </c>
      <c r="E39" s="119">
        <f>'LF minimum input'!L3</f>
        <v>1</v>
      </c>
      <c r="F39" s="119">
        <f>'LF minimum input'!M3</f>
        <v>1</v>
      </c>
      <c r="G39" s="119">
        <f>'LF minimum input'!N3</f>
        <v>1</v>
      </c>
      <c r="H39" s="119">
        <f>'LF minimum input'!O3</f>
        <v>1.1000000000000001</v>
      </c>
      <c r="I39" s="119">
        <f>'LF minimum input'!P3</f>
        <v>1.1000000000000001</v>
      </c>
      <c r="J39" s="119">
        <f>'LF minimum input'!Q3</f>
        <v>1.05</v>
      </c>
      <c r="K39" s="119">
        <f>'LF minimum input'!R3</f>
        <v>0.95</v>
      </c>
      <c r="L39" s="119">
        <f>'LF minimum input'!S3</f>
        <v>0.95</v>
      </c>
      <c r="M39" s="119">
        <f>'LF minimum input'!T3</f>
        <v>0.9</v>
      </c>
      <c r="N39" s="119">
        <f>'LF minimum input'!U3</f>
        <v>0.9</v>
      </c>
      <c r="O39" s="119">
        <f>'LF minimum input'!V3</f>
        <v>0.85</v>
      </c>
      <c r="P39" s="212">
        <f>'LF minimum input'!W3</f>
        <v>1</v>
      </c>
      <c r="Q39" s="120">
        <f>'LF minimum input'!X3</f>
        <v>1</v>
      </c>
    </row>
    <row r="40" spans="1:17" x14ac:dyDescent="0.3">
      <c r="A40" s="115" t="str">
        <f>'LF minimum input'!H14</f>
        <v>Maximum apparent power unit (p.u.)</v>
      </c>
      <c r="B40" s="71">
        <f>'LF minimum input'!I36</f>
        <v>0.94418604651162785</v>
      </c>
      <c r="C40" s="71">
        <f>'LF minimum input'!J36</f>
        <v>0.97209302325581393</v>
      </c>
      <c r="D40" s="71">
        <f>'LF minimum input'!K36</f>
        <v>1</v>
      </c>
      <c r="E40" s="71">
        <f>'LF minimum input'!L36</f>
        <v>0.35348837209302325</v>
      </c>
      <c r="F40" s="71">
        <f>'LF minimum input'!M36</f>
        <v>0.36744186046511629</v>
      </c>
      <c r="G40" s="71">
        <f>'LF minimum input'!N36</f>
        <v>0</v>
      </c>
      <c r="H40" s="71">
        <f>'LF minimum input'!O36</f>
        <v>0.97674418604651159</v>
      </c>
      <c r="I40" s="71">
        <f>'LF minimum input'!P36</f>
        <v>0.93953488372093019</v>
      </c>
      <c r="J40" s="71">
        <f>'LF minimum input'!Q36</f>
        <v>1</v>
      </c>
      <c r="K40" s="71">
        <f>'LF minimum input'!R36</f>
        <v>0.95813953488372094</v>
      </c>
      <c r="L40" s="71">
        <f>'LF minimum input'!S36</f>
        <v>0.89767441860465114</v>
      </c>
      <c r="M40" s="71">
        <f>'LF minimum input'!T36</f>
        <v>0.88372093023255816</v>
      </c>
      <c r="N40" s="71">
        <f>'LF minimum input'!U36</f>
        <v>0.91627906976744189</v>
      </c>
      <c r="O40" s="71">
        <f>'LF minimum input'!V36</f>
        <v>0.86046511627906974</v>
      </c>
      <c r="P40" s="181">
        <f>'LF minimum input'!W36</f>
        <v>0.97209302325581393</v>
      </c>
      <c r="Q40" s="79">
        <f>'LF minimum input'!X36</f>
        <v>1</v>
      </c>
    </row>
    <row r="41" spans="1:17" x14ac:dyDescent="0.3">
      <c r="A41" s="114" t="str">
        <f>'LF minimum input'!H15</f>
        <v>Maximum voltage unit (p.u.)</v>
      </c>
      <c r="B41" s="25">
        <f>'LF minimum input'!I37</f>
        <v>0.998</v>
      </c>
      <c r="C41" s="25">
        <f>'LF minimum input'!J37</f>
        <v>0.97799999999999998</v>
      </c>
      <c r="D41" s="25">
        <f>'LF minimum input'!K37</f>
        <v>1.018</v>
      </c>
      <c r="E41" s="25">
        <f>'LF minimum input'!L37</f>
        <v>0.96099999999999997</v>
      </c>
      <c r="F41" s="25">
        <f>'LF minimum input'!M37</f>
        <v>1.0009999999999999</v>
      </c>
      <c r="G41" s="25">
        <f>'LF minimum input'!N37</f>
        <v>0.97699999999999998</v>
      </c>
      <c r="H41" s="25">
        <f>'LF minimum input'!O37</f>
        <v>1.075</v>
      </c>
      <c r="I41" s="25">
        <f>'LF minimum input'!P37</f>
        <v>1.093</v>
      </c>
      <c r="J41" s="25">
        <f>'LF minimum input'!Q37</f>
        <v>1.0649999999999999</v>
      </c>
      <c r="K41" s="25">
        <f>'LF minimum input'!R37</f>
        <v>0.97</v>
      </c>
      <c r="L41" s="25">
        <f>'LF minimum input'!S37</f>
        <v>0.91400000000000003</v>
      </c>
      <c r="M41" s="25">
        <f>'LF minimum input'!T37</f>
        <v>0.90200000000000002</v>
      </c>
      <c r="N41" s="25">
        <f>'LF minimum input'!U37</f>
        <v>0.92800000000000016</v>
      </c>
      <c r="O41" s="25">
        <f>'LF minimum input'!V37</f>
        <v>0.873</v>
      </c>
      <c r="P41" s="183">
        <f>'LF minimum input'!W37</f>
        <v>0.97750000000000004</v>
      </c>
      <c r="Q41" s="46">
        <f>'LF minimum input'!X37</f>
        <v>1.0175000000000001</v>
      </c>
    </row>
    <row r="42" spans="1:17" x14ac:dyDescent="0.3">
      <c r="A42" s="114" t="str">
        <f>'LF minimum input'!H16</f>
        <v>Minimum voltage unit (p.u.)</v>
      </c>
      <c r="B42" s="25">
        <f>'LF minimum input'!I38</f>
        <v>0.98699999999999999</v>
      </c>
      <c r="C42" s="25">
        <f>'LF minimum input'!J38</f>
        <v>0.96799999999999997</v>
      </c>
      <c r="D42" s="25">
        <f>'LF minimum input'!K38</f>
        <v>1.004</v>
      </c>
      <c r="E42" s="25">
        <f>'LF minimum input'!L38</f>
        <v>0.96</v>
      </c>
      <c r="F42" s="25">
        <f>'LF minimum input'!M38</f>
        <v>0.997</v>
      </c>
      <c r="G42" s="25">
        <f>'LF minimum input'!N38</f>
        <v>0.97699999999999998</v>
      </c>
      <c r="H42" s="25">
        <f>'LF minimum input'!O38</f>
        <v>1.0660000000000001</v>
      </c>
      <c r="I42" s="25">
        <f>'LF minimum input'!P38</f>
        <v>1.083</v>
      </c>
      <c r="J42" s="25">
        <f>'LF minimum input'!Q38</f>
        <v>1.052</v>
      </c>
      <c r="K42" s="25">
        <f>'LF minimum input'!R38</f>
        <v>0.95599999999999996</v>
      </c>
      <c r="L42" s="25">
        <f>'LF minimum input'!S38</f>
        <v>0.90100000000000013</v>
      </c>
      <c r="M42" s="25">
        <f>'LF minimum input'!T38</f>
        <v>0.88900000000000001</v>
      </c>
      <c r="N42" s="25">
        <f>'LF minimum input'!U38</f>
        <v>0.91900000000000004</v>
      </c>
      <c r="O42" s="25">
        <f>'LF minimum input'!V38</f>
        <v>0.86</v>
      </c>
      <c r="P42" s="183">
        <f>'LF minimum input'!W38</f>
        <v>0.96750000000000003</v>
      </c>
      <c r="Q42" s="46">
        <f>'LF minimum input'!X38</f>
        <v>1.0037499999999999</v>
      </c>
    </row>
    <row r="43" spans="1:17" ht="15" thickBot="1" x14ac:dyDescent="0.35">
      <c r="A43" s="114" t="str">
        <f>'LF minimum input'!H17</f>
        <v>Maximum current unit (p.u.)</v>
      </c>
      <c r="B43" s="25">
        <f>'LF minimum input'!I39</f>
        <v>0.95639336377330264</v>
      </c>
      <c r="C43" s="25">
        <f>'LF minimum input'!J39</f>
        <v>1.0039881745880399</v>
      </c>
      <c r="D43" s="25">
        <f>'LF minimum input'!K39</f>
        <v>0.99577774497828231</v>
      </c>
      <c r="E43" s="25">
        <f>'LF minimum input'!L39</f>
        <v>0.36812899734894794</v>
      </c>
      <c r="F43" s="25">
        <f>'LF minimum input'!M39</f>
        <v>0.36845936703458027</v>
      </c>
      <c r="G43" s="25">
        <f>'LF minimum input'!N39</f>
        <v>0</v>
      </c>
      <c r="H43" s="25">
        <f>'LF minimum input'!O39</f>
        <v>0.91605122278991691</v>
      </c>
      <c r="I43" s="25">
        <f>'LF minimum input'!P39</f>
        <v>0.86732243725892977</v>
      </c>
      <c r="J43" s="25">
        <f>'LF minimum input'!Q39</f>
        <v>0.95034301897166873</v>
      </c>
      <c r="K43" s="25">
        <f>'LF minimum input'!R39</f>
        <v>1.001998327952653</v>
      </c>
      <c r="L43" s="25">
        <f>'LF minimum input'!S39</f>
        <v>0.99607074929629458</v>
      </c>
      <c r="M43" s="25">
        <f>'LF minimum input'!T39</f>
        <v>0.99382406483405528</v>
      </c>
      <c r="N43" s="25">
        <f>'LF minimum input'!U39</f>
        <v>0.99680081293501277</v>
      </c>
      <c r="O43" s="25">
        <f>'LF minimum input'!V39</f>
        <v>1.0003015595038733</v>
      </c>
      <c r="P43" s="183">
        <f>'LF minimum input'!W39</f>
        <v>1.0045070315258116</v>
      </c>
      <c r="Q43" s="46">
        <f>'LF minimum input'!X39</f>
        <v>0.99602575936059334</v>
      </c>
    </row>
    <row r="44" spans="1:17" ht="15" thickBot="1" x14ac:dyDescent="0.35">
      <c r="A44" s="116" t="s">
        <v>41</v>
      </c>
      <c r="B44" s="121">
        <v>1</v>
      </c>
      <c r="C44" s="121">
        <v>1</v>
      </c>
      <c r="D44" s="121">
        <v>1</v>
      </c>
      <c r="E44" s="121">
        <v>1</v>
      </c>
      <c r="F44" s="121">
        <v>1</v>
      </c>
      <c r="G44" s="121">
        <v>1</v>
      </c>
      <c r="H44" s="121">
        <v>1</v>
      </c>
      <c r="I44" s="121">
        <v>1</v>
      </c>
      <c r="J44" s="121">
        <v>1</v>
      </c>
      <c r="K44" s="121">
        <v>1</v>
      </c>
      <c r="L44" s="121">
        <v>1</v>
      </c>
      <c r="M44" s="121">
        <v>1</v>
      </c>
      <c r="N44" s="121">
        <v>1</v>
      </c>
      <c r="O44" s="121">
        <v>1</v>
      </c>
      <c r="P44" s="211">
        <v>1</v>
      </c>
      <c r="Q44" s="122">
        <v>1</v>
      </c>
    </row>
    <row r="45" spans="1:17" ht="15" thickTop="1" x14ac:dyDescent="0.3"/>
  </sheetData>
  <sheetProtection algorithmName="SHA-512" hashValue="6YpBc6ORmfkvcyUrfCGM3fV+9wLP5URFAUqoZtFtFlB/eKTGwCSli89IRtWfTHbOpf/eIoZj8zJ/74kp6k1q0Q==" saltValue="i8ETbRXh+fuFbmJOCLLQtg==" spinCount="100000" sheet="1" objects="1" scenarios="1"/>
  <conditionalFormatting sqref="B40:Q40">
    <cfRule type="cellIs" dxfId="7" priority="5" operator="lessThanOrEqual">
      <formula>1.005</formula>
    </cfRule>
    <cfRule type="cellIs" dxfId="6" priority="6" operator="greaterThan">
      <formula>1.005</formula>
    </cfRule>
  </conditionalFormatting>
  <conditionalFormatting sqref="B43:Q43">
    <cfRule type="cellIs" dxfId="1" priority="7" operator="greaterThan">
      <formula>1.005</formula>
    </cfRule>
    <cfRule type="cellIs" dxfId="0" priority="8" operator="lessThanOrEqual">
      <formula>1.005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greaterThan" id="{BCEDB743-624D-4A56-ABB4-C9F2DFC576D8}">
            <xm:f>'LF minimum input'!$I$18*1.005</xm:f>
            <x14:dxf>
              <fill>
                <patternFill>
                  <bgColor rgb="FFFF0000"/>
                </patternFill>
              </fill>
            </x14:dxf>
          </x14:cfRule>
          <x14:cfRule type="cellIs" priority="4" operator="lessThanOrEqual" id="{EE30B148-2C0A-4FBC-A3FB-042D54C8DB37}">
            <xm:f>'LF minimum input'!$I$18*1.005</xm:f>
            <x14:dxf>
              <fill>
                <patternFill>
                  <bgColor rgb="FF92D050"/>
                </patternFill>
              </fill>
            </x14:dxf>
          </x14:cfRule>
          <xm:sqref>B41:Q41</xm:sqref>
        </x14:conditionalFormatting>
        <x14:conditionalFormatting xmlns:xm="http://schemas.microsoft.com/office/excel/2006/main">
          <x14:cfRule type="cellIs" priority="1" operator="greaterThanOrEqual" id="{D3D15D83-6712-4E52-8A38-CDEA31836321}">
            <xm:f>'LF minimum input'!$I$19*0.995</xm:f>
            <x14:dxf>
              <fill>
                <patternFill>
                  <bgColor rgb="FF92D050"/>
                </patternFill>
              </fill>
            </x14:dxf>
          </x14:cfRule>
          <x14:cfRule type="cellIs" priority="2" operator="lessThan" id="{253A17DB-7D63-440C-BAD5-D3C018242049}">
            <xm:f>'LF minimum input'!$I$19*0.995</xm:f>
            <x14:dxf>
              <fill>
                <patternFill>
                  <bgColor rgb="FFFF0000"/>
                </patternFill>
              </fill>
            </x14:dxf>
          </x14:cfRule>
          <xm:sqref>B42:Q42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39D21C25ED334081E0256BB3122DF3" ma:contentTypeVersion="13" ma:contentTypeDescription="Create a new document." ma:contentTypeScope="" ma:versionID="eb85e4fc658312af11d3fd3a3d91fb90">
  <xsd:schema xmlns:xsd="http://www.w3.org/2001/XMLSchema" xmlns:xs="http://www.w3.org/2001/XMLSchema" xmlns:p="http://schemas.microsoft.com/office/2006/metadata/properties" xmlns:ns3="b2bb4c3a-72b7-41d8-b9ea-81748e0789ce" xmlns:ns4="61f74fed-7f1a-467b-aea9-ce87358a3757" targetNamespace="http://schemas.microsoft.com/office/2006/metadata/properties" ma:root="true" ma:fieldsID="12ee58d12b23e9d35422ab931f2d37ea" ns3:_="" ns4:_="">
    <xsd:import namespace="b2bb4c3a-72b7-41d8-b9ea-81748e0789ce"/>
    <xsd:import namespace="61f74fed-7f1a-467b-aea9-ce87358a37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b4c3a-72b7-41d8-b9ea-81748e0789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74fed-7f1a-467b-aea9-ce87358a375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171FD-DB62-4AB4-89C9-17D69A0FC3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631330-0200-433A-B1D8-7922D4A87F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bb4c3a-72b7-41d8-b9ea-81748e0789ce"/>
    <ds:schemaRef ds:uri="61f74fed-7f1a-467b-aea9-ce87358a37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12D77C-9428-471A-B980-031567AA5AA0}">
  <ds:schemaRefs>
    <ds:schemaRef ds:uri="http://schemas.microsoft.com/office/2006/documentManagement/types"/>
    <ds:schemaRef ds:uri="b2bb4c3a-72b7-41d8-b9ea-81748e0789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61f74fed-7f1a-467b-aea9-ce87358a3757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LF minimum input</vt:lpstr>
      <vt:lpstr>Q-U and Q-P windows park</vt:lpstr>
      <vt:lpstr>Review unit type 1</vt:lpstr>
      <vt:lpstr>Review unit type 2</vt:lpstr>
      <vt:lpstr>Review unit type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Kuijpers, Wim</dc:creator>
  <cp:lastModifiedBy>Kuijpers, Wim (DNV External)</cp:lastModifiedBy>
  <cp:lastPrinted>2020-02-29T12:51:25Z</cp:lastPrinted>
  <dcterms:created xsi:type="dcterms:W3CDTF">2020-01-06T17:27:45Z</dcterms:created>
  <dcterms:modified xsi:type="dcterms:W3CDTF">2024-12-20T10:37:35Z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0x010100F739D21C25ED334081E0256BB3122DF3</vt:lpwstr>
  </property>
  <property fmtid="{D5CDD505-2E9C-101B-9397-08002B2CF9AE}" pid="3" name="MSIP_Label_22fbb032-08bf-4f1e-af46-2528cd3f96ca_Enabled">
    <vt:lpwstr>true</vt:lpwstr>
  </property>
  <property fmtid="{D5CDD505-2E9C-101B-9397-08002B2CF9AE}" pid="4" name="MSIP_Label_22fbb032-08bf-4f1e-af46-2528cd3f96ca_SetDate">
    <vt:lpwstr>2021-02-22T06:31:47Z</vt:lpwstr>
  </property>
  <property fmtid="{D5CDD505-2E9C-101B-9397-08002B2CF9AE}" pid="5" name="MSIP_Label_22fbb032-08bf-4f1e-af46-2528cd3f96ca_Method">
    <vt:lpwstr>Privileged</vt:lpwstr>
  </property>
  <property fmtid="{D5CDD505-2E9C-101B-9397-08002B2CF9AE}" pid="6" name="MSIP_Label_22fbb032-08bf-4f1e-af46-2528cd3f96ca_Name">
    <vt:lpwstr>22fbb032-08bf-4f1e-af46-2528cd3f96ca</vt:lpwstr>
  </property>
  <property fmtid="{D5CDD505-2E9C-101B-9397-08002B2CF9AE}" pid="7" name="MSIP_Label_22fbb032-08bf-4f1e-af46-2528cd3f96ca_SiteId">
    <vt:lpwstr>adf10e2b-b6e9-41d6-be2f-c12bb566019c</vt:lpwstr>
  </property>
  <property fmtid="{D5CDD505-2E9C-101B-9397-08002B2CF9AE}" pid="8" name="MSIP_Label_22fbb032-08bf-4f1e-af46-2528cd3f96ca_ActionId">
    <vt:lpwstr>36c75211-e75a-49da-b65c-052b391b7edb</vt:lpwstr>
  </property>
  <property fmtid="{D5CDD505-2E9C-101B-9397-08002B2CF9AE}" pid="9" name="MSIP_Label_22fbb032-08bf-4f1e-af46-2528cd3f96ca_ContentBits">
    <vt:lpwstr>0</vt:lpwstr>
  </property>
</Properties>
</file>